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50"/>
  </bookViews>
  <sheets>
    <sheet name="2023 - schválený rozvoj" sheetId="3" r:id="rId1"/>
  </sheets>
  <calcPr calcId="162913"/>
</workbook>
</file>

<file path=xl/calcChain.xml><?xml version="1.0" encoding="utf-8"?>
<calcChain xmlns="http://schemas.openxmlformats.org/spreadsheetml/2006/main">
  <c r="H42" i="3" l="1"/>
  <c r="J31" i="3" l="1"/>
  <c r="J30" i="3"/>
  <c r="J18" i="3"/>
  <c r="J32" i="3"/>
  <c r="J29" i="3"/>
  <c r="J28" i="3"/>
  <c r="J27" i="3"/>
  <c r="J26" i="3"/>
  <c r="J25" i="3"/>
  <c r="J24" i="3"/>
  <c r="J23" i="3"/>
  <c r="J22" i="3"/>
  <c r="J21" i="3"/>
  <c r="J20" i="3"/>
  <c r="J19" i="3"/>
  <c r="J17" i="3"/>
  <c r="J16" i="3"/>
  <c r="J15" i="3"/>
  <c r="J14" i="3"/>
  <c r="J13" i="3"/>
  <c r="J12" i="3"/>
  <c r="J11" i="3"/>
  <c r="J10" i="3"/>
  <c r="J9" i="3"/>
  <c r="J8" i="3"/>
  <c r="J7" i="3"/>
  <c r="J6" i="3"/>
  <c r="H39" i="3" l="1"/>
  <c r="K39" i="3" s="1"/>
  <c r="S33" i="3"/>
  <c r="F44" i="3"/>
  <c r="K40" i="3" l="1"/>
  <c r="F46" i="3"/>
  <c r="F45" i="3"/>
  <c r="H45" i="3"/>
  <c r="H36" i="3"/>
  <c r="Q35" i="3"/>
  <c r="J34" i="3" l="1"/>
  <c r="S35" i="3"/>
  <c r="R32" i="3"/>
  <c r="L32" i="3"/>
  <c r="P32" i="3" s="1"/>
  <c r="L31" i="3"/>
  <c r="N31" i="3" s="1"/>
  <c r="L30" i="3"/>
  <c r="N30" i="3" s="1"/>
  <c r="L29" i="3"/>
  <c r="N29" i="3" s="1"/>
  <c r="L28" i="3"/>
  <c r="N28" i="3" s="1"/>
  <c r="L27" i="3"/>
  <c r="N27" i="3" s="1"/>
  <c r="L26" i="3"/>
  <c r="N26" i="3" s="1"/>
  <c r="L25" i="3"/>
  <c r="N25" i="3" s="1"/>
  <c r="L24" i="3"/>
  <c r="N24" i="3" s="1"/>
  <c r="L23" i="3"/>
  <c r="N23" i="3" s="1"/>
  <c r="L22" i="3"/>
  <c r="N22" i="3" s="1"/>
  <c r="L21" i="3"/>
  <c r="N21" i="3" s="1"/>
  <c r="L20" i="3"/>
  <c r="N20" i="3" s="1"/>
  <c r="L19" i="3"/>
  <c r="N19" i="3" s="1"/>
  <c r="L18" i="3"/>
  <c r="N18" i="3" s="1"/>
  <c r="L17" i="3"/>
  <c r="N17" i="3" s="1"/>
  <c r="L16" i="3"/>
  <c r="P16" i="3" s="1"/>
  <c r="L15" i="3"/>
  <c r="N15" i="3" s="1"/>
  <c r="L14" i="3"/>
  <c r="N14" i="3" s="1"/>
  <c r="L13" i="3"/>
  <c r="N13" i="3" s="1"/>
  <c r="L12" i="3"/>
  <c r="N12" i="3" s="1"/>
  <c r="L11" i="3"/>
  <c r="N11" i="3" s="1"/>
  <c r="L10" i="3"/>
  <c r="N10" i="3" s="1"/>
  <c r="L9" i="3"/>
  <c r="N9" i="3" s="1"/>
  <c r="L8" i="3"/>
  <c r="R8" i="3" s="1"/>
  <c r="L7" i="3"/>
  <c r="R7" i="3" s="1"/>
  <c r="L6" i="3"/>
  <c r="P6" i="3" s="1"/>
  <c r="P8" i="3" l="1"/>
  <c r="R19" i="3"/>
  <c r="N7" i="3"/>
  <c r="P7" i="3"/>
  <c r="N32" i="3"/>
  <c r="P15" i="3"/>
  <c r="N6" i="3"/>
  <c r="P14" i="3"/>
  <c r="R15" i="3"/>
  <c r="N16" i="3"/>
  <c r="N8" i="3"/>
  <c r="R14" i="3"/>
  <c r="M36" i="3" l="1"/>
</calcChain>
</file>

<file path=xl/comments1.xml><?xml version="1.0" encoding="utf-8"?>
<comments xmlns="http://schemas.openxmlformats.org/spreadsheetml/2006/main">
  <authors>
    <author>Autor</author>
  </authors>
  <commentLis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bez CSS a PS Vracov, Bzenec, S-M
</t>
        </r>
      </text>
    </comment>
  </commentList>
</comments>
</file>

<file path=xl/sharedStrings.xml><?xml version="1.0" encoding="utf-8"?>
<sst xmlns="http://schemas.openxmlformats.org/spreadsheetml/2006/main" count="75" uniqueCount="70">
  <si>
    <t>Poskytovatel</t>
  </si>
  <si>
    <t>Poskytovaná služba</t>
  </si>
  <si>
    <t>Úvazky</t>
  </si>
  <si>
    <t>% spoluúčast dle požadavku JMK</t>
  </si>
  <si>
    <t>garance částky dle % požadavku JMK</t>
  </si>
  <si>
    <t>% spoluúčast ORP Kyjov</t>
  </si>
  <si>
    <t>ORP Kyjov</t>
  </si>
  <si>
    <t>% spoluúčast ORP Hodonín</t>
  </si>
  <si>
    <t>ORP Hodonín</t>
  </si>
  <si>
    <t>% spoluúčast ORP V. n. Mor.</t>
  </si>
  <si>
    <t>ORP V. n. Mor.</t>
  </si>
  <si>
    <t>Centrum pro rodinu a sociální péči Hodonín</t>
  </si>
  <si>
    <t>Denní stacionář - Vlaštovka</t>
  </si>
  <si>
    <t>Osobní asistence</t>
  </si>
  <si>
    <t>Sociální rehabilitace</t>
  </si>
  <si>
    <t>Centrum pro sluchově postižené Hodonínsko, o.p.s.</t>
  </si>
  <si>
    <t>Tlumočnické služby</t>
  </si>
  <si>
    <t>Centrum sociálních služeb, p.o. města Kyjova</t>
  </si>
  <si>
    <t>Azylové domy - rodiny s dětmi</t>
  </si>
  <si>
    <t>Denní stacionář</t>
  </si>
  <si>
    <t>Pečovatelská služba</t>
  </si>
  <si>
    <t>Diecézní charita Brno</t>
  </si>
  <si>
    <t>Nízkoprahové denní centrum</t>
  </si>
  <si>
    <t>Noclehárna Hodonín</t>
  </si>
  <si>
    <t>Pečovatelská služba Šardice</t>
  </si>
  <si>
    <t>Pečovatelská služba Ždánice</t>
  </si>
  <si>
    <t>DOTYK II, o.p.s.</t>
  </si>
  <si>
    <t>Raná péče</t>
  </si>
  <si>
    <t>Charita Kyjov</t>
  </si>
  <si>
    <t>Kontaktní centrum</t>
  </si>
  <si>
    <t>Odborné sociální poradenství</t>
  </si>
  <si>
    <t>Nízkoprahový klub Bárka</t>
  </si>
  <si>
    <t>Charitní pečovatelská služba Kyjov</t>
  </si>
  <si>
    <t>Pečovatelská služba Sv.-Mistřín</t>
  </si>
  <si>
    <t>Město Bzenec</t>
  </si>
  <si>
    <t>Pečovatelská služba Bzenec</t>
  </si>
  <si>
    <t>Město Vracov</t>
  </si>
  <si>
    <t>Pečovatelská služba Vracov</t>
  </si>
  <si>
    <t>Sociálně-psychiatrické centrum - Fénix, o.p.s.</t>
  </si>
  <si>
    <t>Slezská diakonie</t>
  </si>
  <si>
    <t>Raná péče - Dorea</t>
  </si>
  <si>
    <t>Charita Strážnice</t>
  </si>
  <si>
    <t>Sociálně terapeutické dílny, Kotva</t>
  </si>
  <si>
    <r>
      <t>Celkové náklady na provoz "sítě" pro ORP Kyjov</t>
    </r>
    <r>
      <rPr>
        <sz val="12"/>
        <color theme="1"/>
        <rFont val="Calibri"/>
        <family val="2"/>
        <charset val="238"/>
      </rPr>
      <t>*</t>
    </r>
  </si>
  <si>
    <t>Celkové náklady bez CSS Kyjov, p.o. města Kyjova</t>
  </si>
  <si>
    <t>Z toho:</t>
  </si>
  <si>
    <r>
      <t>"Společný sociální fond"</t>
    </r>
    <r>
      <rPr>
        <sz val="12"/>
        <color theme="1"/>
        <rFont val="Calibri"/>
        <family val="2"/>
        <charset val="238"/>
      </rPr>
      <t>**</t>
    </r>
  </si>
  <si>
    <t xml:space="preserve">Z toho: </t>
  </si>
  <si>
    <t>3/5 město Kyjov</t>
  </si>
  <si>
    <t>2/5 spádové obce</t>
  </si>
  <si>
    <r>
      <t>"Pečovatelské služby"</t>
    </r>
    <r>
      <rPr>
        <sz val="12"/>
        <color theme="1"/>
        <rFont val="Calibri"/>
        <family val="2"/>
        <charset val="238"/>
      </rPr>
      <t>***</t>
    </r>
  </si>
  <si>
    <t>SLUŽBY ODBORNÉHO SOCIÁLNÍHO PORADENTVÍ</t>
  </si>
  <si>
    <t>SLUŽBY SOCIÁLNÍ PÉČE</t>
  </si>
  <si>
    <t>z toho PS</t>
  </si>
  <si>
    <t>SLUŽBY SOCIÁLNÍ PREVENCE</t>
  </si>
  <si>
    <t xml:space="preserve">* jde o povinné procentní spoluúčasti z maximálních optimalizovaných nákladů sociálních služeb působících na Kyjovsku, které byly vypočítány na základě metodiky Jihomoravského kraje </t>
  </si>
  <si>
    <t>** součet procentních spoluúčastí na provoz sociálních služeb působících v celém regionu Kyjovska (město Kyjov z toho hradí 3/5 a spádové obce 2/5) - jedná se o služby sociálního poradenství, péče i prevence</t>
  </si>
  <si>
    <t xml:space="preserve">*** součet procentních spoluúčastí na provoz lokálně působících služeb (pečovatelské služby + osobní asistence Centra sociálních služeb Kyjov, p.o. města Kyjova) </t>
  </si>
  <si>
    <t>Krok Kyjov, z.ú.</t>
  </si>
  <si>
    <t>min.síť</t>
  </si>
  <si>
    <t>css</t>
  </si>
  <si>
    <t>Sociálně aktivizační služby pro rodiny s dětmi</t>
  </si>
  <si>
    <t xml:space="preserve">Společnost pro ranou péči, pobočka Brno </t>
  </si>
  <si>
    <t>ORP Kyjov - zaokrouhleno</t>
  </si>
  <si>
    <t>10 klientů</t>
  </si>
  <si>
    <t>rozpočet na 2023 (stejný jako na rok 2022)</t>
  </si>
  <si>
    <t>6 klientů</t>
  </si>
  <si>
    <t>11 klienti</t>
  </si>
  <si>
    <t>Financování "Minimální sítě sociálních služeb na Kyjovsku pro r. 2023"</t>
  </si>
  <si>
    <t>Výpočet financování na 2023 - stejné, jako v r. 2022 + schválený rozvoj + procenta dle kraje + navýšení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</si>
</sst>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č&quot;_-;\-* #,##0.00\ &quot;Kč&quot;_-;_-* &quot;-&quot;??\ &quot;Kč&quot;_-;_-@_-"/>
    <numFmt numFmtId="164" formatCode="#,##0.00\ &quot;Kč&quot;"/>
    <numFmt numFmtId="165" formatCode="_-* #,##0\ [$Kč-405]_-;\-* #,##0\ [$Kč-405]_-;_-* &quot;-&quot;\ [$Kč-405]_-;_-@_-"/>
    <numFmt numFmtId="166" formatCode="_-* #,##0.00\ [$Kč-405]_-;\-* #,##0.00\ [$Kč-405]_-;_-* &quot;-&quot;\ [$Kč-405]_-;_-@_-"/>
    <numFmt numFmtId="167" formatCode="_-* #,##0.00\ [$Kč-405]_-;\-* #,##0.00\ [$Kč-405]_-;_-* &quot;-&quot;??\ [$Kč-405]_-;_-@_-"/>
    <numFmt numFmtId="168" formatCode="_-* #,##0\ &quot;Kč&quot;_-;\-* #,##0\ &quot;Kč&quot;_-;_-* &quot;-&quot;??\ &quot;Kč&quot;_-;_-@_-"/>
    <numFmt numFmtId="169" formatCode="#,##0\ &quot;Kč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2" fontId="0" fillId="2" borderId="13" xfId="0" applyNumberFormat="1" applyFill="1" applyBorder="1"/>
    <xf numFmtId="164" fontId="0" fillId="2" borderId="13" xfId="0" applyNumberFormat="1" applyFill="1" applyBorder="1"/>
    <xf numFmtId="10" fontId="4" fillId="2" borderId="13" xfId="0" applyNumberFormat="1" applyFont="1" applyFill="1" applyBorder="1"/>
    <xf numFmtId="0" fontId="0" fillId="2" borderId="17" xfId="0" applyFill="1" applyBorder="1"/>
    <xf numFmtId="164" fontId="0" fillId="2" borderId="17" xfId="0" applyNumberFormat="1" applyFill="1" applyBorder="1"/>
    <xf numFmtId="10" fontId="4" fillId="2" borderId="17" xfId="0" applyNumberFormat="1" applyFont="1" applyFill="1" applyBorder="1"/>
    <xf numFmtId="164" fontId="0" fillId="2" borderId="18" xfId="0" applyNumberFormat="1" applyFill="1" applyBorder="1"/>
    <xf numFmtId="164" fontId="0" fillId="2" borderId="20" xfId="0" applyNumberFormat="1" applyFill="1" applyBorder="1"/>
    <xf numFmtId="164" fontId="4" fillId="2" borderId="21" xfId="0" applyNumberFormat="1" applyFont="1" applyFill="1" applyBorder="1"/>
    <xf numFmtId="164" fontId="0" fillId="2" borderId="21" xfId="0" applyNumberFormat="1" applyFill="1" applyBorder="1"/>
    <xf numFmtId="164" fontId="0" fillId="2" borderId="23" xfId="0" applyNumberFormat="1" applyFill="1" applyBorder="1"/>
    <xf numFmtId="164" fontId="0" fillId="0" borderId="0" xfId="0" applyNumberFormat="1"/>
    <xf numFmtId="2" fontId="0" fillId="3" borderId="17" xfId="0" applyNumberFormat="1" applyFill="1" applyBorder="1"/>
    <xf numFmtId="164" fontId="0" fillId="3" borderId="17" xfId="0" applyNumberFormat="1" applyFill="1" applyBorder="1"/>
    <xf numFmtId="10" fontId="4" fillId="3" borderId="17" xfId="0" applyNumberFormat="1" applyFont="1" applyFill="1" applyBorder="1"/>
    <xf numFmtId="164" fontId="4" fillId="3" borderId="17" xfId="0" applyNumberFormat="1" applyFont="1" applyFill="1" applyBorder="1"/>
    <xf numFmtId="10" fontId="0" fillId="3" borderId="17" xfId="0" applyNumberFormat="1" applyFill="1" applyBorder="1"/>
    <xf numFmtId="164" fontId="0" fillId="3" borderId="18" xfId="0" applyNumberFormat="1" applyFill="1" applyBorder="1"/>
    <xf numFmtId="2" fontId="0" fillId="3" borderId="20" xfId="0" applyNumberFormat="1" applyFill="1" applyBorder="1"/>
    <xf numFmtId="164" fontId="0" fillId="3" borderId="20" xfId="0" applyNumberFormat="1" applyFill="1" applyBorder="1"/>
    <xf numFmtId="10" fontId="4" fillId="3" borderId="20" xfId="0" applyNumberFormat="1" applyFont="1" applyFill="1" applyBorder="1"/>
    <xf numFmtId="164" fontId="4" fillId="3" borderId="24" xfId="0" applyNumberFormat="1" applyFont="1" applyFill="1" applyBorder="1"/>
    <xf numFmtId="10" fontId="0" fillId="3" borderId="20" xfId="0" applyNumberFormat="1" applyFill="1" applyBorder="1"/>
    <xf numFmtId="164" fontId="0" fillId="3" borderId="24" xfId="0" applyNumberFormat="1" applyFill="1" applyBorder="1"/>
    <xf numFmtId="10" fontId="0" fillId="3" borderId="22" xfId="0" applyNumberFormat="1" applyFill="1" applyBorder="1"/>
    <xf numFmtId="164" fontId="0" fillId="3" borderId="23" xfId="0" applyNumberFormat="1" applyFill="1" applyBorder="1"/>
    <xf numFmtId="2" fontId="0" fillId="2" borderId="17" xfId="0" applyNumberFormat="1" applyFont="1" applyFill="1" applyBorder="1"/>
    <xf numFmtId="164" fontId="4" fillId="2" borderId="13" xfId="0" applyNumberFormat="1" applyFont="1" applyFill="1" applyBorder="1"/>
    <xf numFmtId="0" fontId="0" fillId="2" borderId="13" xfId="0" applyFill="1" applyBorder="1"/>
    <xf numFmtId="0" fontId="0" fillId="2" borderId="25" xfId="0" applyFill="1" applyBorder="1"/>
    <xf numFmtId="0" fontId="0" fillId="2" borderId="26" xfId="0" applyFont="1" applyFill="1" applyBorder="1" applyAlignment="1"/>
    <xf numFmtId="0" fontId="0" fillId="2" borderId="21" xfId="0" applyFill="1" applyBorder="1"/>
    <xf numFmtId="164" fontId="0" fillId="2" borderId="24" xfId="0" applyNumberFormat="1" applyFill="1" applyBorder="1"/>
    <xf numFmtId="0" fontId="0" fillId="2" borderId="27" xfId="0" applyFill="1" applyBorder="1"/>
    <xf numFmtId="164" fontId="0" fillId="2" borderId="28" xfId="0" applyNumberFormat="1" applyFill="1" applyBorder="1"/>
    <xf numFmtId="164" fontId="4" fillId="2" borderId="24" xfId="0" applyNumberFormat="1" applyFont="1" applyFill="1" applyBorder="1"/>
    <xf numFmtId="164" fontId="4" fillId="2" borderId="27" xfId="0" applyNumberFormat="1" applyFont="1" applyFill="1" applyBorder="1"/>
    <xf numFmtId="2" fontId="0" fillId="3" borderId="13" xfId="0" applyNumberFormat="1" applyFill="1" applyBorder="1"/>
    <xf numFmtId="164" fontId="0" fillId="3" borderId="13" xfId="0" applyNumberFormat="1" applyFill="1" applyBorder="1"/>
    <xf numFmtId="10" fontId="4" fillId="3" borderId="14" xfId="0" applyNumberFormat="1" applyFont="1" applyFill="1" applyBorder="1"/>
    <xf numFmtId="164" fontId="4" fillId="3" borderId="14" xfId="0" applyNumberFormat="1" applyFont="1" applyFill="1" applyBorder="1"/>
    <xf numFmtId="10" fontId="0" fillId="3" borderId="14" xfId="0" applyNumberFormat="1" applyFill="1" applyBorder="1"/>
    <xf numFmtId="164" fontId="0" fillId="3" borderId="14" xfId="0" applyNumberFormat="1" applyFill="1" applyBorder="1"/>
    <xf numFmtId="164" fontId="0" fillId="3" borderId="28" xfId="0" applyNumberFormat="1" applyFill="1" applyBorder="1"/>
    <xf numFmtId="0" fontId="0" fillId="3" borderId="17" xfId="0" applyFill="1" applyBorder="1"/>
    <xf numFmtId="0" fontId="0" fillId="3" borderId="20" xfId="0" applyFill="1" applyBorder="1"/>
    <xf numFmtId="164" fontId="0" fillId="3" borderId="21" xfId="0" applyNumberFormat="1" applyFill="1" applyBorder="1"/>
    <xf numFmtId="164" fontId="0" fillId="2" borderId="38" xfId="0" applyNumberFormat="1" applyFill="1" applyBorder="1"/>
    <xf numFmtId="164" fontId="4" fillId="2" borderId="38" xfId="0" applyNumberFormat="1" applyFont="1" applyFill="1" applyBorder="1"/>
    <xf numFmtId="0" fontId="0" fillId="2" borderId="38" xfId="0" applyFill="1" applyBorder="1" applyAlignment="1">
      <alignment horizontal="right"/>
    </xf>
    <xf numFmtId="164" fontId="0" fillId="2" borderId="40" xfId="0" applyNumberFormat="1" applyFill="1" applyBorder="1"/>
    <xf numFmtId="10" fontId="4" fillId="3" borderId="13" xfId="0" applyNumberFormat="1" applyFont="1" applyFill="1" applyBorder="1"/>
    <xf numFmtId="0" fontId="0" fillId="3" borderId="13" xfId="0" applyFill="1" applyBorder="1"/>
    <xf numFmtId="0" fontId="0" fillId="3" borderId="24" xfId="0" applyFill="1" applyBorder="1"/>
    <xf numFmtId="164" fontId="0" fillId="3" borderId="15" xfId="0" applyNumberFormat="1" applyFill="1" applyBorder="1"/>
    <xf numFmtId="164" fontId="4" fillId="3" borderId="27" xfId="0" applyNumberFormat="1" applyFont="1" applyFill="1" applyBorder="1"/>
    <xf numFmtId="2" fontId="0" fillId="2" borderId="38" xfId="0" applyNumberFormat="1" applyFill="1" applyBorder="1"/>
    <xf numFmtId="10" fontId="4" fillId="2" borderId="38" xfId="0" applyNumberFormat="1" applyFont="1" applyFill="1" applyBorder="1"/>
    <xf numFmtId="0" fontId="0" fillId="2" borderId="38" xfId="0" applyFill="1" applyBorder="1"/>
    <xf numFmtId="10" fontId="0" fillId="2" borderId="38" xfId="0" applyNumberFormat="1" applyFill="1" applyBorder="1"/>
    <xf numFmtId="164" fontId="4" fillId="3" borderId="21" xfId="0" applyNumberFormat="1" applyFont="1" applyFill="1" applyBorder="1"/>
    <xf numFmtId="2" fontId="0" fillId="3" borderId="38" xfId="0" applyNumberFormat="1" applyFill="1" applyBorder="1"/>
    <xf numFmtId="164" fontId="0" fillId="3" borderId="38" xfId="0" applyNumberFormat="1" applyFill="1" applyBorder="1"/>
    <xf numFmtId="164" fontId="4" fillId="3" borderId="38" xfId="0" applyNumberFormat="1" applyFont="1" applyFill="1" applyBorder="1"/>
    <xf numFmtId="0" fontId="0" fillId="3" borderId="38" xfId="0" applyFill="1" applyBorder="1"/>
    <xf numFmtId="164" fontId="0" fillId="3" borderId="40" xfId="0" applyNumberFormat="1" applyFill="1" applyBorder="1"/>
    <xf numFmtId="164" fontId="0" fillId="2" borderId="45" xfId="0" applyNumberFormat="1" applyFill="1" applyBorder="1"/>
    <xf numFmtId="10" fontId="4" fillId="3" borderId="38" xfId="0" applyNumberFormat="1" applyFont="1" applyFill="1" applyBorder="1"/>
    <xf numFmtId="10" fontId="0" fillId="3" borderId="38" xfId="0" applyNumberFormat="1" applyFill="1" applyBorder="1"/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1" fillId="0" borderId="0" xfId="0" applyNumberFormat="1" applyFont="1" applyAlignment="1"/>
    <xf numFmtId="0" fontId="7" fillId="0" borderId="0" xfId="0" applyFont="1" applyAlignment="1">
      <alignment vertical="top"/>
    </xf>
    <xf numFmtId="164" fontId="9" fillId="0" borderId="0" xfId="0" applyNumberFormat="1" applyFont="1" applyFill="1" applyAlignment="1">
      <alignment horizontal="right" vertical="top"/>
    </xf>
    <xf numFmtId="164" fontId="1" fillId="2" borderId="43" xfId="0" applyNumberFormat="1" applyFont="1" applyFill="1" applyBorder="1"/>
    <xf numFmtId="164" fontId="9" fillId="0" borderId="0" xfId="0" applyNumberFormat="1" applyFont="1" applyFill="1" applyAlignment="1">
      <alignment vertical="top"/>
    </xf>
    <xf numFmtId="165" fontId="1" fillId="0" borderId="0" xfId="0" applyNumberFormat="1" applyFont="1" applyFill="1" applyAlignment="1">
      <alignment vertical="top"/>
    </xf>
    <xf numFmtId="166" fontId="9" fillId="0" borderId="0" xfId="0" applyNumberFormat="1" applyFont="1" applyFill="1" applyAlignment="1">
      <alignment horizontal="right" vertical="top"/>
    </xf>
    <xf numFmtId="166" fontId="0" fillId="0" borderId="0" xfId="0" applyNumberFormat="1" applyFont="1" applyFill="1" applyAlignment="1">
      <alignment vertical="top"/>
    </xf>
    <xf numFmtId="167" fontId="0" fillId="0" borderId="0" xfId="0" applyNumberFormat="1"/>
    <xf numFmtId="165" fontId="9" fillId="0" borderId="0" xfId="0" applyNumberFormat="1" applyFont="1" applyFill="1" applyAlignment="1">
      <alignment vertical="top"/>
    </xf>
    <xf numFmtId="168" fontId="0" fillId="0" borderId="0" xfId="0" applyNumberFormat="1"/>
    <xf numFmtId="168" fontId="0" fillId="0" borderId="0" xfId="0" applyNumberFormat="1" applyAlignment="1">
      <alignment vertical="top"/>
    </xf>
    <xf numFmtId="169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164" fontId="0" fillId="0" borderId="0" xfId="0" applyNumberFormat="1" applyFont="1" applyAlignment="1">
      <alignment horizontal="left" vertical="center"/>
    </xf>
    <xf numFmtId="44" fontId="0" fillId="0" borderId="0" xfId="0" applyNumberFormat="1"/>
    <xf numFmtId="44" fontId="0" fillId="0" borderId="0" xfId="0" applyNumberFormat="1" applyAlignment="1">
      <alignment vertical="top"/>
    </xf>
    <xf numFmtId="0" fontId="0" fillId="4" borderId="0" xfId="0" applyFill="1" applyBorder="1"/>
    <xf numFmtId="0" fontId="0" fillId="0" borderId="0" xfId="0" applyFill="1" applyBorder="1"/>
    <xf numFmtId="10" fontId="0" fillId="3" borderId="21" xfId="0" applyNumberFormat="1" applyFill="1" applyBorder="1"/>
    <xf numFmtId="10" fontId="0" fillId="3" borderId="13" xfId="0" applyNumberFormat="1" applyFill="1" applyBorder="1"/>
    <xf numFmtId="2" fontId="0" fillId="3" borderId="21" xfId="0" applyNumberFormat="1" applyFill="1" applyBorder="1"/>
    <xf numFmtId="10" fontId="4" fillId="3" borderId="21" xfId="0" applyNumberFormat="1" applyFont="1" applyFill="1" applyBorder="1"/>
    <xf numFmtId="164" fontId="0" fillId="3" borderId="49" xfId="0" applyNumberFormat="1" applyFill="1" applyBorder="1"/>
    <xf numFmtId="0" fontId="0" fillId="2" borderId="24" xfId="0" applyFill="1" applyBorder="1"/>
    <xf numFmtId="0" fontId="0" fillId="2" borderId="47" xfId="0" applyFill="1" applyBorder="1"/>
    <xf numFmtId="0" fontId="0" fillId="2" borderId="15" xfId="0" applyFont="1" applyFill="1" applyBorder="1" applyAlignment="1"/>
    <xf numFmtId="2" fontId="0" fillId="3" borderId="27" xfId="0" applyNumberFormat="1" applyFill="1" applyBorder="1"/>
    <xf numFmtId="164" fontId="0" fillId="3" borderId="27" xfId="0" applyNumberFormat="1" applyFill="1" applyBorder="1"/>
    <xf numFmtId="0" fontId="0" fillId="3" borderId="27" xfId="0" applyFill="1" applyBorder="1"/>
    <xf numFmtId="164" fontId="4" fillId="3" borderId="22" xfId="0" applyNumberFormat="1" applyFont="1" applyFill="1" applyBorder="1"/>
    <xf numFmtId="0" fontId="0" fillId="3" borderId="38" xfId="0" applyFill="1" applyBorder="1" applyAlignment="1">
      <alignment horizontal="right"/>
    </xf>
    <xf numFmtId="164" fontId="0" fillId="2" borderId="26" xfId="0" applyNumberFormat="1" applyFill="1" applyBorder="1"/>
    <xf numFmtId="10" fontId="0" fillId="2" borderId="17" xfId="0" applyNumberFormat="1" applyFont="1" applyFill="1" applyBorder="1"/>
    <xf numFmtId="10" fontId="0" fillId="2" borderId="21" xfId="0" applyNumberFormat="1" applyFill="1" applyBorder="1"/>
    <xf numFmtId="10" fontId="0" fillId="3" borderId="27" xfId="0" applyNumberFormat="1" applyFill="1" applyBorder="1"/>
    <xf numFmtId="10" fontId="4" fillId="2" borderId="21" xfId="0" applyNumberFormat="1" applyFont="1" applyFill="1" applyBorder="1"/>
    <xf numFmtId="10" fontId="4" fillId="3" borderId="27" xfId="0" applyNumberFormat="1" applyFont="1" applyFill="1" applyBorder="1"/>
    <xf numFmtId="0" fontId="0" fillId="0" borderId="0" xfId="0" applyBorder="1"/>
    <xf numFmtId="0" fontId="0" fillId="0" borderId="0" xfId="0" applyAlignment="1">
      <alignment horizontal="left" vertical="top"/>
    </xf>
    <xf numFmtId="0" fontId="1" fillId="0" borderId="0" xfId="0" applyFont="1"/>
    <xf numFmtId="2" fontId="0" fillId="2" borderId="22" xfId="0" applyNumberFormat="1" applyFill="1" applyBorder="1"/>
    <xf numFmtId="10" fontId="0" fillId="2" borderId="24" xfId="0" applyNumberFormat="1" applyFill="1" applyBorder="1"/>
    <xf numFmtId="10" fontId="4" fillId="2" borderId="24" xfId="0" applyNumberFormat="1" applyFont="1" applyFill="1" applyBorder="1"/>
    <xf numFmtId="2" fontId="0" fillId="2" borderId="39" xfId="0" applyNumberFormat="1" applyFill="1" applyBorder="1"/>
    <xf numFmtId="10" fontId="4" fillId="2" borderId="38" xfId="0" applyNumberFormat="1" applyFont="1" applyFill="1" applyBorder="1" applyAlignment="1">
      <alignment horizontal="right"/>
    </xf>
    <xf numFmtId="10" fontId="4" fillId="3" borderId="38" xfId="0" applyNumberFormat="1" applyFont="1" applyFill="1" applyBorder="1" applyAlignment="1">
      <alignment horizontal="right"/>
    </xf>
    <xf numFmtId="164" fontId="6" fillId="0" borderId="0" xfId="0" applyNumberFormat="1" applyFont="1"/>
    <xf numFmtId="164" fontId="0" fillId="4" borderId="0" xfId="0" applyNumberFormat="1" applyFill="1" applyBorder="1"/>
    <xf numFmtId="164" fontId="0" fillId="4" borderId="0" xfId="0" applyNumberFormat="1" applyFill="1" applyBorder="1" applyAlignment="1">
      <alignment horizontal="left"/>
    </xf>
    <xf numFmtId="164" fontId="1" fillId="4" borderId="0" xfId="0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left"/>
    </xf>
    <xf numFmtId="164" fontId="1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left" wrapText="1"/>
    </xf>
    <xf numFmtId="164" fontId="12" fillId="4" borderId="0" xfId="0" applyNumberFormat="1" applyFont="1" applyFill="1" applyBorder="1" applyAlignment="1">
      <alignment horizontal="center"/>
    </xf>
    <xf numFmtId="164" fontId="9" fillId="4" borderId="0" xfId="0" applyNumberFormat="1" applyFont="1" applyFill="1" applyBorder="1" applyAlignment="1">
      <alignment horizontal="right" vertical="top"/>
    </xf>
    <xf numFmtId="167" fontId="0" fillId="4" borderId="0" xfId="0" applyNumberFormat="1" applyFill="1" applyBorder="1"/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166" fontId="0" fillId="4" borderId="0" xfId="0" applyNumberFormat="1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top"/>
    </xf>
    <xf numFmtId="164" fontId="11" fillId="4" borderId="0" xfId="0" applyNumberFormat="1" applyFont="1" applyFill="1" applyBorder="1" applyAlignment="1">
      <alignment horizontal="right" vertical="top"/>
    </xf>
    <xf numFmtId="0" fontId="0" fillId="4" borderId="0" xfId="0" applyFill="1" applyBorder="1" applyAlignment="1">
      <alignment horizontal="left" vertical="top"/>
    </xf>
    <xf numFmtId="166" fontId="0" fillId="4" borderId="0" xfId="0" applyNumberFormat="1" applyFont="1" applyFill="1" applyBorder="1" applyAlignment="1">
      <alignment vertical="top"/>
    </xf>
    <xf numFmtId="0" fontId="0" fillId="4" borderId="0" xfId="0" applyFill="1" applyBorder="1" applyAlignment="1">
      <alignment horizontal="right"/>
    </xf>
    <xf numFmtId="164" fontId="0" fillId="4" borderId="0" xfId="0" applyNumberFormat="1" applyFill="1" applyBorder="1" applyAlignment="1">
      <alignment horizontal="center"/>
    </xf>
    <xf numFmtId="0" fontId="0" fillId="4" borderId="0" xfId="0" applyFill="1" applyBorder="1" applyAlignment="1">
      <alignment wrapText="1"/>
    </xf>
    <xf numFmtId="0" fontId="3" fillId="5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0" fillId="2" borderId="37" xfId="0" applyFill="1" applyBorder="1" applyAlignment="1"/>
    <xf numFmtId="0" fontId="0" fillId="2" borderId="38" xfId="0" applyFill="1" applyBorder="1" applyAlignment="1"/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41" xfId="0" applyFill="1" applyBorder="1" applyAlignment="1"/>
    <xf numFmtId="0" fontId="0" fillId="3" borderId="21" xfId="0" applyFill="1" applyBorder="1" applyAlignment="1"/>
    <xf numFmtId="0" fontId="0" fillId="3" borderId="19" xfId="0" applyFill="1" applyBorder="1" applyAlignment="1"/>
    <xf numFmtId="0" fontId="0" fillId="3" borderId="20" xfId="0" applyFill="1" applyBorder="1" applyAlignment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left"/>
    </xf>
    <xf numFmtId="0" fontId="0" fillId="3" borderId="33" xfId="0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/>
    <xf numFmtId="0" fontId="0" fillId="2" borderId="17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50" xfId="0" applyFill="1" applyBorder="1" applyAlignment="1">
      <alignment horizontal="left"/>
    </xf>
    <xf numFmtId="0" fontId="0" fillId="2" borderId="46" xfId="0" applyFill="1" applyBorder="1" applyAlignment="1">
      <alignment horizontal="left"/>
    </xf>
    <xf numFmtId="0" fontId="0" fillId="2" borderId="48" xfId="0" applyFill="1" applyBorder="1" applyAlignment="1">
      <alignment horizontal="left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left"/>
    </xf>
    <xf numFmtId="0" fontId="0" fillId="3" borderId="38" xfId="0" applyFill="1" applyBorder="1" applyAlignment="1">
      <alignment horizontal="left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6" fillId="0" borderId="0" xfId="0" applyFont="1" applyAlignment="1">
      <alignment horizontal="left" vertical="top"/>
    </xf>
    <xf numFmtId="164" fontId="1" fillId="2" borderId="35" xfId="0" applyNumberFormat="1" applyFont="1" applyFill="1" applyBorder="1" applyAlignment="1">
      <alignment horizontal="left" vertical="top"/>
    </xf>
    <xf numFmtId="164" fontId="1" fillId="2" borderId="36" xfId="0" applyNumberFormat="1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42" xfId="0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0" fillId="2" borderId="44" xfId="0" applyFill="1" applyBorder="1" applyAlignment="1">
      <alignment horizontal="left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0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left" vertical="top"/>
    </xf>
    <xf numFmtId="0" fontId="0" fillId="4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1" fillId="4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right" vertical="center"/>
    </xf>
    <xf numFmtId="166" fontId="0" fillId="4" borderId="0" xfId="0" applyNumberFormat="1" applyFill="1" applyBorder="1" applyAlignment="1">
      <alignment horizontal="center" vertical="center"/>
    </xf>
    <xf numFmtId="167" fontId="0" fillId="4" borderId="0" xfId="0" applyNumberFormat="1" applyFill="1" applyBorder="1" applyAlignment="1">
      <alignment horizontal="center" vertical="center"/>
    </xf>
    <xf numFmtId="167" fontId="0" fillId="4" borderId="0" xfId="0" applyNumberForma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109"/>
  <sheetViews>
    <sheetView tabSelected="1" topLeftCell="A31" zoomScale="80" zoomScaleNormal="80" workbookViewId="0">
      <selection activeCell="B67" sqref="B67:C67"/>
    </sheetView>
  </sheetViews>
  <sheetFormatPr defaultRowHeight="14.5" x14ac:dyDescent="0.35"/>
  <cols>
    <col min="4" max="4" width="13.7265625" customWidth="1"/>
    <col min="5" max="6" width="17.7265625" customWidth="1"/>
    <col min="7" max="7" width="20.453125" customWidth="1"/>
    <col min="8" max="8" width="30.453125" customWidth="1"/>
    <col min="10" max="10" width="23" customWidth="1"/>
    <col min="11" max="11" width="19.81640625" customWidth="1"/>
    <col min="12" max="12" width="18" customWidth="1"/>
    <col min="13" max="13" width="20.54296875" customWidth="1"/>
    <col min="14" max="14" width="18.1796875" customWidth="1"/>
    <col min="15" max="15" width="17.26953125" customWidth="1"/>
    <col min="16" max="16" width="15.54296875" customWidth="1"/>
    <col min="17" max="17" width="17.81640625" customWidth="1"/>
    <col min="18" max="18" width="14" customWidth="1"/>
    <col min="19" max="19" width="20.81640625" customWidth="1"/>
  </cols>
  <sheetData>
    <row r="2" spans="2:19" ht="21" x14ac:dyDescent="0.5">
      <c r="B2" s="141" t="s">
        <v>69</v>
      </c>
      <c r="C2" s="141"/>
      <c r="D2" s="141"/>
      <c r="E2" s="141"/>
      <c r="F2" s="141"/>
      <c r="G2" s="141"/>
      <c r="H2" s="141"/>
      <c r="I2" s="141"/>
      <c r="J2" s="141"/>
    </row>
    <row r="3" spans="2:19" ht="15" thickBot="1" x14ac:dyDescent="0.4"/>
    <row r="4" spans="2:19" ht="15" customHeight="1" x14ac:dyDescent="0.35">
      <c r="B4" s="142" t="s">
        <v>0</v>
      </c>
      <c r="C4" s="143"/>
      <c r="D4" s="143"/>
      <c r="E4" s="144"/>
      <c r="F4" s="142" t="s">
        <v>1</v>
      </c>
      <c r="G4" s="143"/>
      <c r="H4" s="144"/>
      <c r="I4" s="151" t="s">
        <v>2</v>
      </c>
      <c r="J4" s="153" t="s">
        <v>65</v>
      </c>
      <c r="K4" s="153" t="s">
        <v>3</v>
      </c>
      <c r="L4" s="153" t="s">
        <v>4</v>
      </c>
      <c r="M4" s="153" t="s">
        <v>5</v>
      </c>
      <c r="N4" s="151" t="s">
        <v>6</v>
      </c>
      <c r="O4" s="153" t="s">
        <v>7</v>
      </c>
      <c r="P4" s="151" t="s">
        <v>8</v>
      </c>
      <c r="Q4" s="153" t="s">
        <v>9</v>
      </c>
      <c r="R4" s="151" t="s">
        <v>10</v>
      </c>
      <c r="S4" s="155" t="s">
        <v>63</v>
      </c>
    </row>
    <row r="5" spans="2:19" ht="29.25" customHeight="1" thickBot="1" x14ac:dyDescent="0.4">
      <c r="B5" s="145"/>
      <c r="C5" s="146"/>
      <c r="D5" s="146"/>
      <c r="E5" s="147"/>
      <c r="F5" s="148"/>
      <c r="G5" s="149"/>
      <c r="H5" s="150"/>
      <c r="I5" s="152"/>
      <c r="J5" s="154"/>
      <c r="K5" s="154"/>
      <c r="L5" s="154"/>
      <c r="M5" s="154"/>
      <c r="N5" s="152"/>
      <c r="O5" s="154"/>
      <c r="P5" s="152"/>
      <c r="Q5" s="154"/>
      <c r="R5" s="157"/>
      <c r="S5" s="156"/>
    </row>
    <row r="6" spans="2:19" ht="21.75" customHeight="1" thickBot="1" x14ac:dyDescent="0.4">
      <c r="B6" s="158" t="s">
        <v>11</v>
      </c>
      <c r="C6" s="159"/>
      <c r="D6" s="159"/>
      <c r="E6" s="160"/>
      <c r="F6" s="161" t="s">
        <v>12</v>
      </c>
      <c r="G6" s="162"/>
      <c r="H6" s="162"/>
      <c r="I6" s="57">
        <v>5.13</v>
      </c>
      <c r="J6" s="48">
        <f>(I6*120000)+2633202</f>
        <v>3248802</v>
      </c>
      <c r="K6" s="60">
        <v>0.06</v>
      </c>
      <c r="L6" s="48">
        <f>J6*K6</f>
        <v>194928.12</v>
      </c>
      <c r="M6" s="58">
        <v>4.3E-3</v>
      </c>
      <c r="N6" s="49">
        <f>L6/K6*M6</f>
        <v>13969.848599999999</v>
      </c>
      <c r="O6" s="60">
        <v>7.3400000000000007E-2</v>
      </c>
      <c r="P6" s="48">
        <f>L6/K6*O6</f>
        <v>238462.06680000003</v>
      </c>
      <c r="Q6" s="59"/>
      <c r="R6" s="67"/>
      <c r="S6" s="67">
        <v>13900</v>
      </c>
    </row>
    <row r="7" spans="2:19" x14ac:dyDescent="0.35">
      <c r="B7" s="163" t="s">
        <v>15</v>
      </c>
      <c r="C7" s="164"/>
      <c r="D7" s="164"/>
      <c r="E7" s="164"/>
      <c r="F7" s="167" t="s">
        <v>14</v>
      </c>
      <c r="G7" s="168"/>
      <c r="H7" s="168"/>
      <c r="I7" s="93">
        <v>3.85</v>
      </c>
      <c r="J7" s="47">
        <f>(I7*120000)+2292490.2</f>
        <v>2754490.2</v>
      </c>
      <c r="K7" s="91">
        <v>0.17</v>
      </c>
      <c r="L7" s="43">
        <f t="shared" ref="L7:L32" si="0">J7*K7</f>
        <v>468263.33400000009</v>
      </c>
      <c r="M7" s="94">
        <v>4.1399999999999999E-2</v>
      </c>
      <c r="N7" s="61">
        <f t="shared" ref="N7:N29" si="1">L7/K7*M7</f>
        <v>114035.89428000001</v>
      </c>
      <c r="O7" s="91">
        <v>4.7399999999999998E-2</v>
      </c>
      <c r="P7" s="47">
        <f>L7/K7*O7</f>
        <v>130562.83548000001</v>
      </c>
      <c r="Q7" s="91">
        <v>8.1100000000000005E-2</v>
      </c>
      <c r="R7" s="95">
        <f>L7/K7*Q7</f>
        <v>223389.15522000004</v>
      </c>
      <c r="S7" s="95">
        <v>114000</v>
      </c>
    </row>
    <row r="8" spans="2:19" ht="15" thickBot="1" x14ac:dyDescent="0.4">
      <c r="B8" s="165"/>
      <c r="C8" s="166"/>
      <c r="D8" s="166"/>
      <c r="E8" s="166"/>
      <c r="F8" s="169" t="s">
        <v>16</v>
      </c>
      <c r="G8" s="170"/>
      <c r="H8" s="170"/>
      <c r="I8" s="19">
        <v>1.6</v>
      </c>
      <c r="J8" s="20">
        <f>(I8*120000)+892108.8</f>
        <v>1084108.8</v>
      </c>
      <c r="K8" s="23">
        <v>0.17</v>
      </c>
      <c r="L8" s="20">
        <f t="shared" si="0"/>
        <v>184298.49600000001</v>
      </c>
      <c r="M8" s="21">
        <v>7.7299999999999994E-2</v>
      </c>
      <c r="N8" s="22">
        <f t="shared" si="1"/>
        <v>83801.610239999995</v>
      </c>
      <c r="O8" s="23">
        <v>7.3400000000000007E-2</v>
      </c>
      <c r="P8" s="24">
        <f>L8/K8*O8</f>
        <v>79573.585920000012</v>
      </c>
      <c r="Q8" s="25">
        <v>1.9300000000000001E-2</v>
      </c>
      <c r="R8" s="26">
        <f>L8/K8*Q8</f>
        <v>20923.299840000003</v>
      </c>
      <c r="S8" s="26">
        <v>83800</v>
      </c>
    </row>
    <row r="9" spans="2:19" x14ac:dyDescent="0.35">
      <c r="B9" s="187" t="s">
        <v>17</v>
      </c>
      <c r="C9" s="188"/>
      <c r="D9" s="188"/>
      <c r="E9" s="189"/>
      <c r="F9" s="196" t="s">
        <v>18</v>
      </c>
      <c r="G9" s="197"/>
      <c r="H9" s="197"/>
      <c r="I9" s="27">
        <v>1.5</v>
      </c>
      <c r="J9" s="5">
        <f>(I9*120000)+1004754.3</f>
        <v>1184754.3</v>
      </c>
      <c r="K9" s="105">
        <v>0.15</v>
      </c>
      <c r="L9" s="2">
        <f t="shared" si="0"/>
        <v>177713.14499999999</v>
      </c>
      <c r="M9" s="3">
        <v>0.15</v>
      </c>
      <c r="N9" s="28">
        <f t="shared" si="1"/>
        <v>177713.14499999999</v>
      </c>
      <c r="O9" s="4"/>
      <c r="P9" s="29"/>
      <c r="Q9" s="30"/>
      <c r="R9" s="31"/>
      <c r="S9" s="35">
        <v>177700</v>
      </c>
    </row>
    <row r="10" spans="2:19" x14ac:dyDescent="0.35">
      <c r="B10" s="190"/>
      <c r="C10" s="191"/>
      <c r="D10" s="191"/>
      <c r="E10" s="192"/>
      <c r="F10" s="196" t="s">
        <v>61</v>
      </c>
      <c r="G10" s="197"/>
      <c r="H10" s="197"/>
      <c r="I10" s="27">
        <v>2.1</v>
      </c>
      <c r="J10" s="5">
        <f>(I10*120000)+1277640</f>
        <v>1529640</v>
      </c>
      <c r="K10" s="105">
        <v>0.3</v>
      </c>
      <c r="L10" s="5">
        <f t="shared" si="0"/>
        <v>458892</v>
      </c>
      <c r="M10" s="108">
        <v>0.3</v>
      </c>
      <c r="N10" s="9">
        <f t="shared" si="1"/>
        <v>458892</v>
      </c>
      <c r="O10" s="32"/>
      <c r="P10" s="4"/>
      <c r="Q10" s="97"/>
      <c r="R10" s="98"/>
      <c r="S10" s="35">
        <v>458800</v>
      </c>
    </row>
    <row r="11" spans="2:19" ht="15" customHeight="1" x14ac:dyDescent="0.35">
      <c r="B11" s="190"/>
      <c r="C11" s="191"/>
      <c r="D11" s="191"/>
      <c r="E11" s="192"/>
      <c r="F11" s="196" t="s">
        <v>19</v>
      </c>
      <c r="G11" s="197"/>
      <c r="H11" s="197"/>
      <c r="I11" s="27">
        <v>4.4000000000000004</v>
      </c>
      <c r="J11" s="5">
        <f>(I11*120000)+1989530.3</f>
        <v>2517530.2999999998</v>
      </c>
      <c r="K11" s="105">
        <v>9.5000000000000001E-2</v>
      </c>
      <c r="L11" s="5">
        <f>J11*K11</f>
        <v>239165.37849999999</v>
      </c>
      <c r="M11" s="108">
        <v>9.5000000000000001E-2</v>
      </c>
      <c r="N11" s="9">
        <f t="shared" si="1"/>
        <v>239165.37849999999</v>
      </c>
      <c r="O11" s="32"/>
      <c r="P11" s="33"/>
      <c r="Q11" s="34"/>
      <c r="R11" s="35"/>
      <c r="S11" s="35">
        <v>239100</v>
      </c>
    </row>
    <row r="12" spans="2:19" x14ac:dyDescent="0.35">
      <c r="B12" s="190"/>
      <c r="C12" s="191"/>
      <c r="D12" s="191"/>
      <c r="E12" s="192"/>
      <c r="F12" s="196" t="s">
        <v>13</v>
      </c>
      <c r="G12" s="197"/>
      <c r="H12" s="197"/>
      <c r="I12" s="27">
        <v>1.8</v>
      </c>
      <c r="J12" s="5">
        <f>(I12*120000)+972259.2</f>
        <v>1188259.2</v>
      </c>
      <c r="K12" s="105">
        <v>9.5000000000000001E-2</v>
      </c>
      <c r="L12" s="5">
        <f t="shared" si="0"/>
        <v>112884.624</v>
      </c>
      <c r="M12" s="6">
        <v>9.5000000000000001E-2</v>
      </c>
      <c r="N12" s="36">
        <f t="shared" si="1"/>
        <v>112884.624</v>
      </c>
      <c r="O12" s="4"/>
      <c r="P12" s="5"/>
      <c r="Q12" s="4"/>
      <c r="R12" s="7"/>
      <c r="S12" s="7">
        <v>112800</v>
      </c>
    </row>
    <row r="13" spans="2:19" ht="15" thickBot="1" x14ac:dyDescent="0.4">
      <c r="B13" s="193"/>
      <c r="C13" s="194"/>
      <c r="D13" s="194"/>
      <c r="E13" s="195"/>
      <c r="F13" s="196" t="s">
        <v>20</v>
      </c>
      <c r="G13" s="197"/>
      <c r="H13" s="197"/>
      <c r="I13" s="27">
        <v>13.25</v>
      </c>
      <c r="J13" s="5">
        <f>(I13*120000)+6139036.2</f>
        <v>7729036.2000000002</v>
      </c>
      <c r="K13" s="105">
        <v>0.22</v>
      </c>
      <c r="L13" s="8">
        <f t="shared" si="0"/>
        <v>1700387.9640000002</v>
      </c>
      <c r="M13" s="6">
        <v>0.22</v>
      </c>
      <c r="N13" s="37">
        <f t="shared" si="1"/>
        <v>1700387.9640000002</v>
      </c>
      <c r="O13" s="4"/>
      <c r="P13" s="10"/>
      <c r="Q13" s="32"/>
      <c r="R13" s="11"/>
      <c r="S13" s="11">
        <v>1700300</v>
      </c>
    </row>
    <row r="14" spans="2:19" x14ac:dyDescent="0.35">
      <c r="B14" s="171" t="s">
        <v>21</v>
      </c>
      <c r="C14" s="172"/>
      <c r="D14" s="172"/>
      <c r="E14" s="172"/>
      <c r="F14" s="177" t="s">
        <v>22</v>
      </c>
      <c r="G14" s="178"/>
      <c r="H14" s="179"/>
      <c r="I14" s="38">
        <v>2.52</v>
      </c>
      <c r="J14" s="39">
        <f>(I14*120000)+1427025.6</f>
        <v>1729425.6</v>
      </c>
      <c r="K14" s="92">
        <v>0.17</v>
      </c>
      <c r="L14" s="39">
        <f t="shared" si="0"/>
        <v>294002.35200000001</v>
      </c>
      <c r="M14" s="40">
        <v>9.2999999999999992E-3</v>
      </c>
      <c r="N14" s="41">
        <f t="shared" si="1"/>
        <v>16083.658079999997</v>
      </c>
      <c r="O14" s="42">
        <v>0.1454</v>
      </c>
      <c r="P14" s="43">
        <f>L14/K14*O14</f>
        <v>251458.48223999998</v>
      </c>
      <c r="Q14" s="92">
        <v>1.0200000000000001E-2</v>
      </c>
      <c r="R14" s="44">
        <f>L14/K14*Q14</f>
        <v>17640.14112</v>
      </c>
      <c r="S14" s="44">
        <v>16000</v>
      </c>
    </row>
    <row r="15" spans="2:19" x14ac:dyDescent="0.35">
      <c r="B15" s="173"/>
      <c r="C15" s="174"/>
      <c r="D15" s="174"/>
      <c r="E15" s="174"/>
      <c r="F15" s="180" t="s">
        <v>23</v>
      </c>
      <c r="G15" s="181"/>
      <c r="H15" s="182"/>
      <c r="I15" s="13">
        <v>2.62</v>
      </c>
      <c r="J15" s="14">
        <f>(I15*120000)+1582563.4</f>
        <v>1896963.4</v>
      </c>
      <c r="K15" s="17">
        <v>0.17</v>
      </c>
      <c r="L15" s="14">
        <f t="shared" si="0"/>
        <v>322483.77799999999</v>
      </c>
      <c r="M15" s="15">
        <v>1.7899999999999999E-2</v>
      </c>
      <c r="N15" s="16">
        <f t="shared" si="1"/>
        <v>33955.64486</v>
      </c>
      <c r="O15" s="17">
        <v>0.14119999999999999</v>
      </c>
      <c r="P15" s="14">
        <f>L15/K15*O15</f>
        <v>267851.23207999999</v>
      </c>
      <c r="Q15" s="17">
        <v>1.7299999999999999E-2</v>
      </c>
      <c r="R15" s="18">
        <f>L15/K15*Q15</f>
        <v>32817.466819999994</v>
      </c>
      <c r="S15" s="18">
        <v>33900</v>
      </c>
    </row>
    <row r="16" spans="2:19" x14ac:dyDescent="0.35">
      <c r="B16" s="173"/>
      <c r="C16" s="174"/>
      <c r="D16" s="174"/>
      <c r="E16" s="174"/>
      <c r="F16" s="183" t="s">
        <v>24</v>
      </c>
      <c r="G16" s="184"/>
      <c r="H16" s="184"/>
      <c r="I16" s="13">
        <v>5.5</v>
      </c>
      <c r="J16" s="14">
        <f>(I16*120000)+2097455</f>
        <v>2757455</v>
      </c>
      <c r="K16" s="17">
        <v>0.2</v>
      </c>
      <c r="L16" s="14">
        <f t="shared" si="0"/>
        <v>551491</v>
      </c>
      <c r="M16" s="15">
        <v>0.17330000000000001</v>
      </c>
      <c r="N16" s="16">
        <f t="shared" si="1"/>
        <v>477866.95150000002</v>
      </c>
      <c r="O16" s="17">
        <v>6.0999999999999999E-2</v>
      </c>
      <c r="P16" s="14">
        <f>L16/K16*O16</f>
        <v>168204.755</v>
      </c>
      <c r="Q16" s="45"/>
      <c r="R16" s="18"/>
      <c r="S16" s="18">
        <v>477800</v>
      </c>
    </row>
    <row r="17" spans="2:19" ht="15" thickBot="1" x14ac:dyDescent="0.4">
      <c r="B17" s="175"/>
      <c r="C17" s="176"/>
      <c r="D17" s="176"/>
      <c r="E17" s="176"/>
      <c r="F17" s="185" t="s">
        <v>25</v>
      </c>
      <c r="G17" s="186"/>
      <c r="H17" s="186"/>
      <c r="I17" s="19">
        <v>6.9</v>
      </c>
      <c r="J17" s="20">
        <f>(I17*120000)+2941770.1</f>
        <v>3769770.1</v>
      </c>
      <c r="K17" s="23">
        <v>0.2</v>
      </c>
      <c r="L17" s="20">
        <f t="shared" si="0"/>
        <v>753954.02</v>
      </c>
      <c r="M17" s="21">
        <v>0.2</v>
      </c>
      <c r="N17" s="22">
        <f t="shared" si="1"/>
        <v>753954.02</v>
      </c>
      <c r="O17" s="46"/>
      <c r="P17" s="47"/>
      <c r="Q17" s="46"/>
      <c r="R17" s="26"/>
      <c r="S17" s="26">
        <v>753900</v>
      </c>
    </row>
    <row r="18" spans="2:19" ht="15" thickBot="1" x14ac:dyDescent="0.4">
      <c r="B18" s="218" t="s">
        <v>26</v>
      </c>
      <c r="C18" s="219"/>
      <c r="D18" s="219"/>
      <c r="E18" s="219"/>
      <c r="F18" s="216" t="s">
        <v>27</v>
      </c>
      <c r="G18" s="217"/>
      <c r="H18" s="217"/>
      <c r="I18" s="116">
        <v>6.6</v>
      </c>
      <c r="J18" s="48">
        <f>(I18*23200)+2822688</f>
        <v>2975808</v>
      </c>
      <c r="K18" s="60">
        <v>0.13</v>
      </c>
      <c r="L18" s="48">
        <f t="shared" si="0"/>
        <v>386855.04000000004</v>
      </c>
      <c r="M18" s="117" t="s">
        <v>64</v>
      </c>
      <c r="N18" s="49">
        <f>L18/76*10</f>
        <v>50901.978947368421</v>
      </c>
      <c r="O18" s="50"/>
      <c r="P18" s="2"/>
      <c r="Q18" s="50"/>
      <c r="R18" s="51"/>
      <c r="S18" s="51">
        <v>50900</v>
      </c>
    </row>
    <row r="19" spans="2:19" x14ac:dyDescent="0.35">
      <c r="B19" s="171" t="s">
        <v>28</v>
      </c>
      <c r="C19" s="172"/>
      <c r="D19" s="172"/>
      <c r="E19" s="172"/>
      <c r="F19" s="220" t="s">
        <v>29</v>
      </c>
      <c r="G19" s="221"/>
      <c r="H19" s="221"/>
      <c r="I19" s="38">
        <v>4.2</v>
      </c>
      <c r="J19" s="39">
        <f>(I19*120000)+2378376</f>
        <v>2882376</v>
      </c>
      <c r="K19" s="92">
        <v>0.17</v>
      </c>
      <c r="L19" s="39">
        <f t="shared" si="0"/>
        <v>490003.92000000004</v>
      </c>
      <c r="M19" s="52">
        <v>0.13</v>
      </c>
      <c r="N19" s="22">
        <f t="shared" si="1"/>
        <v>374708.88</v>
      </c>
      <c r="O19" s="53"/>
      <c r="P19" s="43"/>
      <c r="Q19" s="42">
        <v>0.04</v>
      </c>
      <c r="R19" s="44">
        <f>L19/K19*Q19</f>
        <v>115295.04000000001</v>
      </c>
      <c r="S19" s="44">
        <v>374700</v>
      </c>
    </row>
    <row r="20" spans="2:19" x14ac:dyDescent="0.35">
      <c r="B20" s="173"/>
      <c r="C20" s="174"/>
      <c r="D20" s="174"/>
      <c r="E20" s="174"/>
      <c r="F20" s="183" t="s">
        <v>30</v>
      </c>
      <c r="G20" s="184"/>
      <c r="H20" s="184"/>
      <c r="I20" s="13">
        <v>1</v>
      </c>
      <c r="J20" s="47">
        <f>(I20*120000)+825825</f>
        <v>945825</v>
      </c>
      <c r="K20" s="17">
        <v>0.18</v>
      </c>
      <c r="L20" s="14">
        <f t="shared" si="0"/>
        <v>170248.5</v>
      </c>
      <c r="M20" s="15">
        <v>0.18</v>
      </c>
      <c r="N20" s="16">
        <f t="shared" si="1"/>
        <v>170248.5</v>
      </c>
      <c r="O20" s="45"/>
      <c r="P20" s="14"/>
      <c r="Q20" s="45"/>
      <c r="R20" s="18"/>
      <c r="S20" s="18">
        <v>170200</v>
      </c>
    </row>
    <row r="21" spans="2:19" x14ac:dyDescent="0.35">
      <c r="B21" s="173"/>
      <c r="C21" s="174"/>
      <c r="D21" s="174"/>
      <c r="E21" s="174"/>
      <c r="F21" s="183" t="s">
        <v>31</v>
      </c>
      <c r="G21" s="184"/>
      <c r="H21" s="184"/>
      <c r="I21" s="13">
        <v>3</v>
      </c>
      <c r="J21" s="14">
        <f>(I21*120000)+1698840</f>
        <v>2058840</v>
      </c>
      <c r="K21" s="17">
        <v>0.27</v>
      </c>
      <c r="L21" s="14">
        <f t="shared" si="0"/>
        <v>555886.80000000005</v>
      </c>
      <c r="M21" s="15">
        <v>0.27</v>
      </c>
      <c r="N21" s="16">
        <f t="shared" si="1"/>
        <v>555886.80000000005</v>
      </c>
      <c r="O21" s="45"/>
      <c r="P21" s="24"/>
      <c r="Q21" s="54"/>
      <c r="R21" s="55"/>
      <c r="S21" s="55">
        <v>555800</v>
      </c>
    </row>
    <row r="22" spans="2:19" x14ac:dyDescent="0.35">
      <c r="B22" s="173"/>
      <c r="C22" s="174"/>
      <c r="D22" s="174"/>
      <c r="E22" s="174"/>
      <c r="F22" s="183" t="s">
        <v>32</v>
      </c>
      <c r="G22" s="184"/>
      <c r="H22" s="184"/>
      <c r="I22" s="13">
        <v>17.600000000000001</v>
      </c>
      <c r="J22" s="14">
        <f>(I22*120000)+8361167.9</f>
        <v>10473167.9</v>
      </c>
      <c r="K22" s="17">
        <v>0.2</v>
      </c>
      <c r="L22" s="14">
        <f t="shared" si="0"/>
        <v>2094633.58</v>
      </c>
      <c r="M22" s="15">
        <v>0.2</v>
      </c>
      <c r="N22" s="22">
        <f t="shared" si="1"/>
        <v>2094633.58</v>
      </c>
      <c r="O22" s="45"/>
      <c r="P22" s="14"/>
      <c r="Q22" s="45"/>
      <c r="R22" s="18"/>
      <c r="S22" s="18">
        <v>2094600</v>
      </c>
    </row>
    <row r="23" spans="2:19" ht="15" thickBot="1" x14ac:dyDescent="0.4">
      <c r="B23" s="175"/>
      <c r="C23" s="176"/>
      <c r="D23" s="176"/>
      <c r="E23" s="176"/>
      <c r="F23" s="185" t="s">
        <v>33</v>
      </c>
      <c r="G23" s="186"/>
      <c r="H23" s="186"/>
      <c r="I23" s="19">
        <v>3</v>
      </c>
      <c r="J23" s="20">
        <f>(I23*120000)+1291644.3</f>
        <v>1651644.3</v>
      </c>
      <c r="K23" s="23">
        <v>0.2</v>
      </c>
      <c r="L23" s="20">
        <f t="shared" si="0"/>
        <v>330328.86000000004</v>
      </c>
      <c r="M23" s="21">
        <v>0.2</v>
      </c>
      <c r="N23" s="56">
        <f t="shared" si="1"/>
        <v>330328.86000000004</v>
      </c>
      <c r="O23" s="101"/>
      <c r="P23" s="24"/>
      <c r="Q23" s="54"/>
      <c r="R23" s="55"/>
      <c r="S23" s="55">
        <v>330300</v>
      </c>
    </row>
    <row r="24" spans="2:19" x14ac:dyDescent="0.35">
      <c r="B24" s="198" t="s">
        <v>58</v>
      </c>
      <c r="C24" s="199"/>
      <c r="D24" s="199"/>
      <c r="E24" s="200"/>
      <c r="F24" s="204" t="s">
        <v>30</v>
      </c>
      <c r="G24" s="205"/>
      <c r="H24" s="206"/>
      <c r="I24" s="1">
        <v>1.3</v>
      </c>
      <c r="J24" s="10">
        <f>(I24*120000)+858858</f>
        <v>1014858</v>
      </c>
      <c r="K24" s="106">
        <v>0.18</v>
      </c>
      <c r="L24" s="2">
        <f t="shared" si="0"/>
        <v>182674.44</v>
      </c>
      <c r="M24" s="108">
        <v>0.18</v>
      </c>
      <c r="N24" s="28">
        <f t="shared" si="1"/>
        <v>182674.44</v>
      </c>
      <c r="O24" s="29"/>
      <c r="P24" s="2"/>
      <c r="Q24" s="29"/>
      <c r="R24" s="104"/>
      <c r="S24" s="104">
        <v>182600</v>
      </c>
    </row>
    <row r="25" spans="2:19" ht="15" thickBot="1" x14ac:dyDescent="0.4">
      <c r="B25" s="201"/>
      <c r="C25" s="202"/>
      <c r="D25" s="202"/>
      <c r="E25" s="203"/>
      <c r="F25" s="207" t="s">
        <v>61</v>
      </c>
      <c r="G25" s="208"/>
      <c r="H25" s="209"/>
      <c r="I25" s="113">
        <v>3.48</v>
      </c>
      <c r="J25" s="33">
        <f>(I25*120000)+2026750</f>
        <v>2444350</v>
      </c>
      <c r="K25" s="114">
        <v>0.27</v>
      </c>
      <c r="L25" s="8">
        <f t="shared" si="0"/>
        <v>659974.5</v>
      </c>
      <c r="M25" s="115">
        <v>0.27</v>
      </c>
      <c r="N25" s="36">
        <f t="shared" si="1"/>
        <v>659974.5</v>
      </c>
      <c r="O25" s="96"/>
      <c r="P25" s="10"/>
      <c r="Q25" s="96"/>
      <c r="R25" s="11"/>
      <c r="S25" s="11">
        <v>659900</v>
      </c>
    </row>
    <row r="26" spans="2:19" ht="15" thickBot="1" x14ac:dyDescent="0.4">
      <c r="B26" s="210" t="s">
        <v>34</v>
      </c>
      <c r="C26" s="211"/>
      <c r="D26" s="211"/>
      <c r="E26" s="211"/>
      <c r="F26" s="212" t="s">
        <v>35</v>
      </c>
      <c r="G26" s="213"/>
      <c r="H26" s="213"/>
      <c r="I26" s="62">
        <v>5</v>
      </c>
      <c r="J26" s="63">
        <f>(I26*120000)+2526480</f>
        <v>3126480</v>
      </c>
      <c r="K26" s="69">
        <v>0.2</v>
      </c>
      <c r="L26" s="63">
        <f t="shared" si="0"/>
        <v>625296</v>
      </c>
      <c r="M26" s="68">
        <v>0.2</v>
      </c>
      <c r="N26" s="64">
        <f t="shared" si="1"/>
        <v>625296</v>
      </c>
      <c r="O26" s="65"/>
      <c r="P26" s="39"/>
      <c r="Q26" s="65"/>
      <c r="R26" s="66"/>
      <c r="S26" s="66">
        <v>625200</v>
      </c>
    </row>
    <row r="27" spans="2:19" ht="15" thickBot="1" x14ac:dyDescent="0.4">
      <c r="B27" s="214" t="s">
        <v>36</v>
      </c>
      <c r="C27" s="215"/>
      <c r="D27" s="215"/>
      <c r="E27" s="215"/>
      <c r="F27" s="216" t="s">
        <v>37</v>
      </c>
      <c r="G27" s="217"/>
      <c r="H27" s="217"/>
      <c r="I27" s="57">
        <v>5.25</v>
      </c>
      <c r="J27" s="48">
        <f>(I27*120000)+2835756</f>
        <v>3465756</v>
      </c>
      <c r="K27" s="60">
        <v>0.2</v>
      </c>
      <c r="L27" s="48">
        <f t="shared" si="0"/>
        <v>693151.20000000007</v>
      </c>
      <c r="M27" s="58">
        <v>0.2</v>
      </c>
      <c r="N27" s="49">
        <f t="shared" si="1"/>
        <v>693151.20000000007</v>
      </c>
      <c r="O27" s="59"/>
      <c r="P27" s="2"/>
      <c r="Q27" s="59"/>
      <c r="R27" s="51"/>
      <c r="S27" s="51">
        <v>693100</v>
      </c>
    </row>
    <row r="28" spans="2:19" x14ac:dyDescent="0.35">
      <c r="B28" s="227" t="s">
        <v>38</v>
      </c>
      <c r="C28" s="228"/>
      <c r="D28" s="228"/>
      <c r="E28" s="228"/>
      <c r="F28" s="229" t="s">
        <v>19</v>
      </c>
      <c r="G28" s="230"/>
      <c r="H28" s="231"/>
      <c r="I28" s="38">
        <v>1.8</v>
      </c>
      <c r="J28" s="39">
        <f>(I28*120000)+1053280.8</f>
        <v>1269280.8</v>
      </c>
      <c r="K28" s="92">
        <v>0.06</v>
      </c>
      <c r="L28" s="39">
        <f t="shared" si="0"/>
        <v>76156.847999999998</v>
      </c>
      <c r="M28" s="15">
        <v>0.06</v>
      </c>
      <c r="N28" s="61">
        <f t="shared" si="1"/>
        <v>76156.847999999998</v>
      </c>
      <c r="O28" s="92"/>
      <c r="P28" s="43"/>
      <c r="Q28" s="42"/>
      <c r="R28" s="44"/>
      <c r="S28" s="44">
        <v>76100</v>
      </c>
    </row>
    <row r="29" spans="2:19" ht="15" thickBot="1" x14ac:dyDescent="0.4">
      <c r="B29" s="165"/>
      <c r="C29" s="166"/>
      <c r="D29" s="166"/>
      <c r="E29" s="166"/>
      <c r="F29" s="185" t="s">
        <v>14</v>
      </c>
      <c r="G29" s="186"/>
      <c r="H29" s="186"/>
      <c r="I29" s="99">
        <v>3.7</v>
      </c>
      <c r="J29" s="100">
        <f>(I29*120000)+2191939.2</f>
        <v>2635939.2000000002</v>
      </c>
      <c r="K29" s="107">
        <v>0.17</v>
      </c>
      <c r="L29" s="20">
        <f t="shared" si="0"/>
        <v>448109.66400000005</v>
      </c>
      <c r="M29" s="109">
        <v>0.17</v>
      </c>
      <c r="N29" s="56">
        <f t="shared" si="1"/>
        <v>448109.66400000005</v>
      </c>
      <c r="O29" s="101"/>
      <c r="P29" s="100"/>
      <c r="Q29" s="101"/>
      <c r="R29" s="44"/>
      <c r="S29" s="44">
        <v>448100</v>
      </c>
    </row>
    <row r="30" spans="2:19" ht="15" thickBot="1" x14ac:dyDescent="0.4">
      <c r="B30" s="232" t="s">
        <v>62</v>
      </c>
      <c r="C30" s="233"/>
      <c r="D30" s="233"/>
      <c r="E30" s="234"/>
      <c r="F30" s="235" t="s">
        <v>27</v>
      </c>
      <c r="G30" s="236"/>
      <c r="H30" s="237"/>
      <c r="I30" s="57">
        <v>7.7</v>
      </c>
      <c r="J30" s="48">
        <f>(I30*23200)+4234032</f>
        <v>4412672</v>
      </c>
      <c r="K30" s="60">
        <v>0.13</v>
      </c>
      <c r="L30" s="48">
        <f t="shared" si="0"/>
        <v>573647.35999999999</v>
      </c>
      <c r="M30" s="117" t="s">
        <v>66</v>
      </c>
      <c r="N30" s="49">
        <f>L30/136*6</f>
        <v>25307.971764705882</v>
      </c>
      <c r="O30" s="50"/>
      <c r="P30" s="48"/>
      <c r="Q30" s="50"/>
      <c r="R30" s="67"/>
      <c r="S30" s="67">
        <v>25300</v>
      </c>
    </row>
    <row r="31" spans="2:19" ht="15" thickBot="1" x14ac:dyDescent="0.4">
      <c r="B31" s="238" t="s">
        <v>39</v>
      </c>
      <c r="C31" s="239"/>
      <c r="D31" s="239"/>
      <c r="E31" s="239"/>
      <c r="F31" s="212" t="s">
        <v>40</v>
      </c>
      <c r="G31" s="213"/>
      <c r="H31" s="213"/>
      <c r="I31" s="62">
        <v>7.42</v>
      </c>
      <c r="J31" s="63">
        <f>(I31*23200)+3465633.6</f>
        <v>3637777.6</v>
      </c>
      <c r="K31" s="69">
        <v>0.13</v>
      </c>
      <c r="L31" s="63">
        <f t="shared" si="0"/>
        <v>472911.08800000005</v>
      </c>
      <c r="M31" s="118" t="s">
        <v>67</v>
      </c>
      <c r="N31" s="102">
        <f>L31/118*11</f>
        <v>44084.931932203392</v>
      </c>
      <c r="O31" s="103"/>
      <c r="P31" s="63"/>
      <c r="Q31" s="103"/>
      <c r="R31" s="66"/>
      <c r="S31" s="66">
        <v>44000</v>
      </c>
    </row>
    <row r="32" spans="2:19" ht="15" thickBot="1" x14ac:dyDescent="0.4">
      <c r="B32" s="214" t="s">
        <v>41</v>
      </c>
      <c r="C32" s="215"/>
      <c r="D32" s="215"/>
      <c r="E32" s="215"/>
      <c r="F32" s="216" t="s">
        <v>42</v>
      </c>
      <c r="G32" s="217"/>
      <c r="H32" s="217"/>
      <c r="I32" s="57">
        <v>2.5499999999999998</v>
      </c>
      <c r="J32" s="48">
        <f>(I32*120000)+1750320</f>
        <v>2056320</v>
      </c>
      <c r="K32" s="60">
        <v>0.15</v>
      </c>
      <c r="L32" s="48">
        <f t="shared" si="0"/>
        <v>308448</v>
      </c>
      <c r="M32" s="58">
        <v>3.5700000000000003E-2</v>
      </c>
      <c r="N32" s="49">
        <f>L32/K32*M32</f>
        <v>73410.624000000011</v>
      </c>
      <c r="O32" s="60">
        <v>1.38E-2</v>
      </c>
      <c r="P32" s="48">
        <f>L32/K32*O32</f>
        <v>28377.216</v>
      </c>
      <c r="Q32" s="60">
        <v>0.13100000000000001</v>
      </c>
      <c r="R32" s="67">
        <f>L32/K32*Q32</f>
        <v>269377.91999999998</v>
      </c>
      <c r="S32" s="67">
        <v>73400</v>
      </c>
    </row>
    <row r="33" spans="2:19" ht="18.5" x14ac:dyDescent="0.45">
      <c r="S33" s="119">
        <f>SUM(S6:S32)</f>
        <v>10586200</v>
      </c>
    </row>
    <row r="34" spans="2:19" ht="18.5" x14ac:dyDescent="0.35">
      <c r="B34" s="222" t="s">
        <v>68</v>
      </c>
      <c r="C34" s="222"/>
      <c r="D34" s="222"/>
      <c r="E34" s="222"/>
      <c r="F34" s="222"/>
      <c r="G34" s="222"/>
      <c r="H34" s="222"/>
      <c r="I34" s="222"/>
      <c r="J34" s="70">
        <f>SUM(J6:J32)</f>
        <v>76441329.899999991</v>
      </c>
      <c r="K34" s="71"/>
      <c r="L34" s="70"/>
      <c r="M34" s="12"/>
      <c r="N34" s="72"/>
    </row>
    <row r="35" spans="2:19" ht="15" thickBot="1" x14ac:dyDescent="0.4"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P35" s="112" t="s">
        <v>60</v>
      </c>
      <c r="Q35" s="12">
        <f>S13+S12+S11+S10+S9</f>
        <v>2688700</v>
      </c>
      <c r="R35" s="112" t="s">
        <v>59</v>
      </c>
      <c r="S35" s="12">
        <f>S33-S27-S26-S23-S13-S12-S11-S10-S9</f>
        <v>6248900</v>
      </c>
    </row>
    <row r="36" spans="2:19" ht="16" thickBot="1" x14ac:dyDescent="0.4">
      <c r="B36" s="73" t="s">
        <v>43</v>
      </c>
      <c r="C36" s="73"/>
      <c r="D36" s="73"/>
      <c r="E36" s="73"/>
      <c r="F36" s="73"/>
      <c r="G36" s="73"/>
      <c r="H36" s="74">
        <f>SUM(S6:S32)</f>
        <v>10586200</v>
      </c>
      <c r="I36" s="71"/>
      <c r="J36" s="223" t="s">
        <v>44</v>
      </c>
      <c r="K36" s="224"/>
      <c r="L36" s="224"/>
      <c r="M36" s="75">
        <f>H36-N11-N12-N13-N9-N10</f>
        <v>7897156.8885000013</v>
      </c>
      <c r="N36" s="12"/>
      <c r="O36" s="12"/>
    </row>
    <row r="37" spans="2:19" ht="15.5" x14ac:dyDescent="0.35">
      <c r="B37" s="73"/>
      <c r="C37" s="73"/>
      <c r="D37" s="73"/>
      <c r="E37" s="73"/>
      <c r="F37" s="73"/>
      <c r="G37" s="73"/>
      <c r="H37" s="76"/>
      <c r="I37" s="71"/>
      <c r="J37" s="71"/>
      <c r="K37" s="71"/>
      <c r="L37" s="71"/>
      <c r="M37" s="12"/>
    </row>
    <row r="38" spans="2:19" x14ac:dyDescent="0.35">
      <c r="B38" s="71" t="s">
        <v>45</v>
      </c>
      <c r="C38" s="71"/>
      <c r="D38" s="71"/>
      <c r="E38" s="71"/>
      <c r="F38" s="71"/>
      <c r="G38" s="71"/>
      <c r="H38" s="77"/>
      <c r="I38" s="71"/>
      <c r="J38" s="71"/>
      <c r="K38" s="71"/>
      <c r="L38" s="71"/>
      <c r="M38" s="12"/>
    </row>
    <row r="39" spans="2:19" ht="15.5" x14ac:dyDescent="0.35">
      <c r="B39" s="73" t="s">
        <v>46</v>
      </c>
      <c r="C39" s="73"/>
      <c r="D39" s="73"/>
      <c r="E39" s="73"/>
      <c r="F39" s="73"/>
      <c r="G39" s="73"/>
      <c r="H39" s="78">
        <f>S6+S7+S8+S9+S10+S11+S14+S15+S18+S19+S20+S21+S24+S25+S28+S29+S30+S31+S32</f>
        <v>3798200</v>
      </c>
      <c r="I39" s="71" t="s">
        <v>47</v>
      </c>
      <c r="J39" s="71" t="s">
        <v>48</v>
      </c>
      <c r="K39" s="79">
        <f>(H39/5)*3</f>
        <v>2278920</v>
      </c>
      <c r="L39" s="80"/>
    </row>
    <row r="40" spans="2:19" ht="15.5" x14ac:dyDescent="0.35">
      <c r="B40" s="73"/>
      <c r="C40" s="73"/>
      <c r="D40" s="73"/>
      <c r="E40" s="73"/>
      <c r="F40" s="73"/>
      <c r="G40" s="73"/>
      <c r="H40" s="81"/>
      <c r="I40" s="71"/>
      <c r="J40" s="71" t="s">
        <v>49</v>
      </c>
      <c r="K40" s="79">
        <f>(H39/5)*2</f>
        <v>1519280</v>
      </c>
    </row>
    <row r="41" spans="2:19" ht="15.5" x14ac:dyDescent="0.35">
      <c r="B41" s="73"/>
      <c r="C41" s="73"/>
      <c r="D41" s="73"/>
      <c r="E41" s="73"/>
      <c r="F41" s="73"/>
      <c r="G41" s="73"/>
      <c r="H41" s="81"/>
      <c r="I41" s="71"/>
      <c r="J41" s="111"/>
      <c r="K41" s="111"/>
      <c r="L41" s="79"/>
    </row>
    <row r="42" spans="2:19" ht="15.75" customHeight="1" x14ac:dyDescent="0.35">
      <c r="B42" s="73" t="s">
        <v>50</v>
      </c>
      <c r="C42" s="73"/>
      <c r="D42" s="73"/>
      <c r="E42" s="73"/>
      <c r="F42" s="73"/>
      <c r="G42" s="73"/>
      <c r="H42" s="78">
        <f>S12+S13+S16+S17+S22+S23+S26+S27</f>
        <v>6788000</v>
      </c>
      <c r="I42" s="71"/>
      <c r="L42" s="12"/>
    </row>
    <row r="43" spans="2:19" ht="15" customHeight="1" x14ac:dyDescent="0.35">
      <c r="B43" s="71"/>
      <c r="C43" s="71"/>
      <c r="D43" s="71"/>
      <c r="H43" s="71"/>
      <c r="I43" s="71"/>
      <c r="L43" s="12"/>
    </row>
    <row r="44" spans="2:19" x14ac:dyDescent="0.35">
      <c r="B44" s="240" t="s">
        <v>51</v>
      </c>
      <c r="C44" s="240"/>
      <c r="D44" s="240"/>
      <c r="E44" s="240"/>
      <c r="F44" s="83">
        <f>S20+S24</f>
        <v>352800</v>
      </c>
      <c r="G44" s="71"/>
      <c r="H44" s="71"/>
      <c r="I44" s="71"/>
    </row>
    <row r="45" spans="2:19" x14ac:dyDescent="0.35">
      <c r="B45" s="240" t="s">
        <v>52</v>
      </c>
      <c r="C45" s="240"/>
      <c r="D45" s="240"/>
      <c r="E45" s="240"/>
      <c r="F45" s="84">
        <f>S6+S11+S12+S13+S16+S17+S22+S23+S26+S27+S28</f>
        <v>7117100</v>
      </c>
      <c r="G45" s="85" t="s">
        <v>53</v>
      </c>
      <c r="H45" s="86">
        <f>S16+S17+S22+S23+S26+S13+S27</f>
        <v>6675200</v>
      </c>
      <c r="I45" s="71"/>
      <c r="J45" s="87"/>
    </row>
    <row r="46" spans="2:19" x14ac:dyDescent="0.35">
      <c r="B46" s="240" t="s">
        <v>54</v>
      </c>
      <c r="C46" s="240"/>
      <c r="D46" s="240"/>
      <c r="E46" s="240"/>
      <c r="F46" s="84">
        <f>S7+S8+S9+S10+S14+S15+S18+S19+S21+S25+S29+S30+S31+S32</f>
        <v>3116300</v>
      </c>
      <c r="G46" s="71"/>
      <c r="H46" s="71"/>
      <c r="I46" s="71"/>
      <c r="J46" s="82"/>
    </row>
    <row r="47" spans="2:19" ht="11.25" customHeight="1" x14ac:dyDescent="0.35">
      <c r="B47" s="71"/>
      <c r="C47" s="71"/>
      <c r="D47" s="71"/>
      <c r="E47" s="71"/>
      <c r="F47" s="71"/>
      <c r="G47" s="71"/>
      <c r="H47" s="88"/>
      <c r="I47" s="71"/>
    </row>
    <row r="48" spans="2:19" ht="21" customHeight="1" x14ac:dyDescent="0.35">
      <c r="B48" s="244" t="s">
        <v>55</v>
      </c>
      <c r="C48" s="244"/>
      <c r="D48" s="244"/>
      <c r="E48" s="244"/>
      <c r="F48" s="244"/>
      <c r="G48" s="244"/>
      <c r="H48" s="244"/>
      <c r="I48" s="244"/>
      <c r="J48" s="244"/>
      <c r="K48" s="244"/>
      <c r="L48" s="244"/>
    </row>
    <row r="49" spans="1:17" ht="20.25" customHeight="1" x14ac:dyDescent="0.35"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</row>
    <row r="50" spans="1:17" ht="15" customHeight="1" x14ac:dyDescent="0.35">
      <c r="B50" s="246" t="s">
        <v>56</v>
      </c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7"/>
    </row>
    <row r="51" spans="1:17" ht="15" customHeight="1" x14ac:dyDescent="0.35">
      <c r="B51" s="246" t="s">
        <v>57</v>
      </c>
      <c r="C51" s="246"/>
      <c r="D51" s="246"/>
      <c r="E51" s="246"/>
      <c r="F51" s="246"/>
      <c r="G51" s="246"/>
      <c r="H51" s="246"/>
      <c r="I51" s="246"/>
      <c r="J51" s="246"/>
      <c r="K51" s="246"/>
      <c r="L51" s="246"/>
    </row>
    <row r="52" spans="1:17" ht="15" customHeight="1" x14ac:dyDescent="0.35"/>
    <row r="53" spans="1:17" ht="24.75" customHeight="1" x14ac:dyDescent="0.35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</row>
    <row r="54" spans="1:17" ht="51.75" customHeight="1" x14ac:dyDescent="0.35">
      <c r="A54" s="89"/>
      <c r="B54" s="251"/>
      <c r="C54" s="251"/>
      <c r="D54" s="131"/>
      <c r="E54" s="132"/>
      <c r="F54" s="132"/>
      <c r="G54" s="132"/>
      <c r="H54" s="132"/>
      <c r="I54" s="89"/>
      <c r="J54" s="252"/>
      <c r="K54" s="252"/>
      <c r="L54" s="133"/>
      <c r="M54" s="89"/>
      <c r="N54" s="89"/>
      <c r="O54" s="89"/>
      <c r="P54" s="89"/>
      <c r="Q54" s="89"/>
    </row>
    <row r="55" spans="1:17" x14ac:dyDescent="0.35">
      <c r="A55" s="89"/>
      <c r="B55" s="241"/>
      <c r="C55" s="241"/>
      <c r="D55" s="89"/>
      <c r="E55" s="120"/>
      <c r="F55" s="120"/>
      <c r="G55" s="120"/>
      <c r="H55" s="120"/>
      <c r="I55" s="89"/>
      <c r="J55" s="134"/>
      <c r="K55" s="134"/>
      <c r="L55" s="135"/>
      <c r="M55" s="89"/>
      <c r="N55" s="89"/>
      <c r="O55" s="89"/>
      <c r="P55" s="89"/>
      <c r="Q55" s="89"/>
    </row>
    <row r="56" spans="1:17" x14ac:dyDescent="0.35">
      <c r="A56" s="89"/>
      <c r="B56" s="241"/>
      <c r="C56" s="241"/>
      <c r="D56" s="89"/>
      <c r="E56" s="120"/>
      <c r="F56" s="120"/>
      <c r="G56" s="120"/>
      <c r="H56" s="120"/>
      <c r="I56" s="89"/>
      <c r="J56" s="136"/>
      <c r="K56" s="136"/>
      <c r="L56" s="137"/>
      <c r="M56" s="89"/>
      <c r="N56" s="89"/>
      <c r="O56" s="89"/>
      <c r="P56" s="89"/>
      <c r="Q56" s="89"/>
    </row>
    <row r="57" spans="1:17" x14ac:dyDescent="0.35">
      <c r="A57" s="89"/>
      <c r="B57" s="241"/>
      <c r="C57" s="241"/>
      <c r="D57" s="89"/>
      <c r="E57" s="120"/>
      <c r="F57" s="120"/>
      <c r="G57" s="120"/>
      <c r="H57" s="120"/>
      <c r="I57" s="89"/>
      <c r="J57" s="250"/>
      <c r="K57" s="250"/>
      <c r="L57" s="137"/>
      <c r="M57" s="89"/>
      <c r="N57" s="130"/>
      <c r="O57" s="89"/>
      <c r="P57" s="89"/>
      <c r="Q57" s="89"/>
    </row>
    <row r="58" spans="1:17" x14ac:dyDescent="0.35">
      <c r="A58" s="89"/>
      <c r="B58" s="241"/>
      <c r="C58" s="241"/>
      <c r="D58" s="89"/>
      <c r="E58" s="120"/>
      <c r="F58" s="120"/>
      <c r="G58" s="120"/>
      <c r="H58" s="120"/>
      <c r="I58" s="89"/>
      <c r="J58" s="249"/>
      <c r="K58" s="249"/>
      <c r="L58" s="137"/>
      <c r="M58" s="138"/>
      <c r="N58" s="130"/>
      <c r="O58" s="89"/>
      <c r="P58" s="89"/>
      <c r="Q58" s="89"/>
    </row>
    <row r="59" spans="1:17" x14ac:dyDescent="0.35">
      <c r="A59" s="89"/>
      <c r="B59" s="241"/>
      <c r="C59" s="241"/>
      <c r="D59" s="89"/>
      <c r="E59" s="120"/>
      <c r="F59" s="120"/>
      <c r="G59" s="120"/>
      <c r="H59" s="120"/>
      <c r="I59" s="89"/>
      <c r="J59" s="250"/>
      <c r="K59" s="250"/>
      <c r="L59" s="137"/>
      <c r="M59" s="89"/>
      <c r="N59" s="120"/>
      <c r="O59" s="89"/>
      <c r="P59" s="89"/>
      <c r="Q59" s="89"/>
    </row>
    <row r="60" spans="1:17" x14ac:dyDescent="0.35">
      <c r="A60" s="89"/>
      <c r="B60" s="241"/>
      <c r="C60" s="241"/>
      <c r="D60" s="89"/>
      <c r="E60" s="120"/>
      <c r="F60" s="120"/>
      <c r="G60" s="120"/>
      <c r="H60" s="120"/>
      <c r="I60" s="89"/>
      <c r="J60" s="250"/>
      <c r="K60" s="250"/>
      <c r="L60" s="137"/>
      <c r="M60" s="138"/>
      <c r="N60" s="120"/>
      <c r="O60" s="89"/>
      <c r="P60" s="89"/>
      <c r="Q60" s="89"/>
    </row>
    <row r="61" spans="1:17" x14ac:dyDescent="0.35">
      <c r="A61" s="89"/>
      <c r="B61" s="241"/>
      <c r="C61" s="241"/>
      <c r="D61" s="89"/>
      <c r="E61" s="120"/>
      <c r="F61" s="120"/>
      <c r="G61" s="120"/>
      <c r="H61" s="120"/>
      <c r="I61" s="89"/>
      <c r="J61" s="89"/>
      <c r="K61" s="89"/>
      <c r="L61" s="89"/>
      <c r="M61" s="89"/>
      <c r="N61" s="89"/>
      <c r="O61" s="89"/>
      <c r="P61" s="89"/>
      <c r="Q61" s="89"/>
    </row>
    <row r="62" spans="1:17" x14ac:dyDescent="0.35">
      <c r="A62" s="89"/>
      <c r="B62" s="241"/>
      <c r="C62" s="241"/>
      <c r="D62" s="89"/>
      <c r="E62" s="120"/>
      <c r="F62" s="120"/>
      <c r="G62" s="120"/>
      <c r="H62" s="120"/>
      <c r="I62" s="89"/>
      <c r="J62" s="123"/>
      <c r="K62" s="123"/>
      <c r="L62" s="89"/>
      <c r="M62" s="138"/>
      <c r="N62" s="89"/>
      <c r="O62" s="89"/>
      <c r="P62" s="89"/>
      <c r="Q62" s="89"/>
    </row>
    <row r="63" spans="1:17" x14ac:dyDescent="0.35">
      <c r="A63" s="89"/>
      <c r="B63" s="241"/>
      <c r="C63" s="241"/>
      <c r="D63" s="89"/>
      <c r="E63" s="120"/>
      <c r="F63" s="120"/>
      <c r="G63" s="120"/>
      <c r="H63" s="120"/>
      <c r="I63" s="89"/>
      <c r="J63" s="123"/>
      <c r="K63" s="123"/>
      <c r="L63" s="89"/>
      <c r="M63" s="138"/>
      <c r="N63" s="138"/>
      <c r="O63" s="89"/>
      <c r="P63" s="89"/>
      <c r="Q63" s="89"/>
    </row>
    <row r="64" spans="1:17" x14ac:dyDescent="0.35">
      <c r="A64" s="89"/>
      <c r="B64" s="241"/>
      <c r="C64" s="241"/>
      <c r="D64" s="89"/>
      <c r="E64" s="120"/>
      <c r="F64" s="120"/>
      <c r="G64" s="120"/>
      <c r="H64" s="120"/>
      <c r="I64" s="89"/>
      <c r="J64" s="123"/>
      <c r="K64" s="123"/>
      <c r="L64" s="89"/>
      <c r="M64" s="89"/>
      <c r="N64" s="89"/>
      <c r="O64" s="89"/>
      <c r="P64" s="89"/>
      <c r="Q64" s="89"/>
    </row>
    <row r="65" spans="1:17" x14ac:dyDescent="0.35">
      <c r="A65" s="89"/>
      <c r="B65" s="241"/>
      <c r="C65" s="241"/>
      <c r="D65" s="89"/>
      <c r="E65" s="120"/>
      <c r="F65" s="120"/>
      <c r="G65" s="120"/>
      <c r="H65" s="120"/>
      <c r="I65" s="89"/>
      <c r="J65" s="123"/>
      <c r="K65" s="123"/>
      <c r="L65" s="89"/>
      <c r="M65" s="89"/>
      <c r="N65" s="89"/>
      <c r="O65" s="89"/>
      <c r="P65" s="89"/>
      <c r="Q65" s="89"/>
    </row>
    <row r="66" spans="1:17" x14ac:dyDescent="0.35">
      <c r="A66" s="89"/>
      <c r="B66" s="241"/>
      <c r="C66" s="241"/>
      <c r="D66" s="89"/>
      <c r="E66" s="120"/>
      <c r="F66" s="120"/>
      <c r="G66" s="120"/>
      <c r="H66" s="120"/>
      <c r="I66" s="89"/>
      <c r="J66" s="123"/>
      <c r="K66" s="123"/>
      <c r="L66" s="89"/>
      <c r="M66" s="89"/>
      <c r="N66" s="89"/>
      <c r="O66" s="89"/>
      <c r="P66" s="89"/>
      <c r="Q66" s="89"/>
    </row>
    <row r="67" spans="1:17" x14ac:dyDescent="0.35">
      <c r="A67" s="89"/>
      <c r="B67" s="241"/>
      <c r="C67" s="241"/>
      <c r="D67" s="89"/>
      <c r="E67" s="120"/>
      <c r="F67" s="120"/>
      <c r="G67" s="120"/>
      <c r="H67" s="120"/>
      <c r="I67" s="89"/>
      <c r="J67" s="123"/>
      <c r="K67" s="123"/>
      <c r="L67" s="89"/>
      <c r="M67" s="89"/>
      <c r="N67" s="89"/>
      <c r="O67" s="89"/>
      <c r="P67" s="89"/>
      <c r="Q67" s="89"/>
    </row>
    <row r="68" spans="1:17" x14ac:dyDescent="0.35">
      <c r="A68" s="89"/>
      <c r="B68" s="241"/>
      <c r="C68" s="241"/>
      <c r="D68" s="89"/>
      <c r="E68" s="120"/>
      <c r="F68" s="120"/>
      <c r="G68" s="120"/>
      <c r="H68" s="120"/>
      <c r="I68" s="89"/>
      <c r="J68" s="89"/>
      <c r="K68" s="89"/>
      <c r="L68" s="89"/>
      <c r="M68" s="89"/>
      <c r="N68" s="89"/>
      <c r="O68" s="89"/>
      <c r="P68" s="89"/>
      <c r="Q68" s="89"/>
    </row>
    <row r="69" spans="1:17" x14ac:dyDescent="0.35">
      <c r="A69" s="89"/>
      <c r="B69" s="241"/>
      <c r="C69" s="241"/>
      <c r="D69" s="89"/>
      <c r="E69" s="120"/>
      <c r="F69" s="120"/>
      <c r="G69" s="120"/>
      <c r="H69" s="120"/>
      <c r="I69" s="89"/>
      <c r="J69" s="89"/>
      <c r="K69" s="89"/>
      <c r="L69" s="89"/>
      <c r="M69" s="89"/>
      <c r="N69" s="89"/>
      <c r="O69" s="89"/>
      <c r="P69" s="89"/>
      <c r="Q69" s="89"/>
    </row>
    <row r="70" spans="1:17" x14ac:dyDescent="0.35">
      <c r="A70" s="89"/>
      <c r="B70" s="241"/>
      <c r="C70" s="241"/>
      <c r="D70" s="89"/>
      <c r="E70" s="120"/>
      <c r="F70" s="120"/>
      <c r="G70" s="120"/>
      <c r="H70" s="120"/>
      <c r="I70" s="89"/>
      <c r="J70" s="89"/>
      <c r="K70" s="89"/>
      <c r="L70" s="89"/>
      <c r="M70" s="89"/>
      <c r="N70" s="89"/>
      <c r="O70" s="89"/>
      <c r="P70" s="89"/>
      <c r="Q70" s="89"/>
    </row>
    <row r="71" spans="1:17" x14ac:dyDescent="0.35">
      <c r="A71" s="89"/>
      <c r="B71" s="241"/>
      <c r="C71" s="241"/>
      <c r="D71" s="89"/>
      <c r="E71" s="120"/>
      <c r="F71" s="120"/>
      <c r="G71" s="120"/>
      <c r="H71" s="120"/>
      <c r="I71" s="89"/>
      <c r="J71" s="225"/>
      <c r="K71" s="225"/>
      <c r="L71" s="89"/>
      <c r="M71" s="89"/>
      <c r="N71" s="89"/>
      <c r="O71" s="89"/>
      <c r="P71" s="89"/>
      <c r="Q71" s="89"/>
    </row>
    <row r="72" spans="1:17" x14ac:dyDescent="0.35">
      <c r="A72" s="89"/>
      <c r="B72" s="241"/>
      <c r="C72" s="241"/>
      <c r="D72" s="89"/>
      <c r="E72" s="120"/>
      <c r="F72" s="120"/>
      <c r="G72" s="120"/>
      <c r="H72" s="120"/>
      <c r="I72" s="89"/>
      <c r="J72" s="89"/>
      <c r="K72" s="89"/>
      <c r="L72" s="89"/>
      <c r="M72" s="89"/>
      <c r="N72" s="89"/>
      <c r="O72" s="89"/>
      <c r="P72" s="89"/>
      <c r="Q72" s="89"/>
    </row>
    <row r="73" spans="1:17" x14ac:dyDescent="0.35">
      <c r="A73" s="89"/>
      <c r="B73" s="241"/>
      <c r="C73" s="241"/>
      <c r="D73" s="89"/>
      <c r="E73" s="120"/>
      <c r="F73" s="120"/>
      <c r="G73" s="120"/>
      <c r="H73" s="120"/>
      <c r="I73" s="89"/>
      <c r="J73" s="89"/>
      <c r="K73" s="226"/>
      <c r="L73" s="226"/>
      <c r="M73" s="89"/>
      <c r="N73" s="89"/>
      <c r="O73" s="89"/>
      <c r="P73" s="89"/>
      <c r="Q73" s="89"/>
    </row>
    <row r="74" spans="1:17" x14ac:dyDescent="0.35">
      <c r="A74" s="89"/>
      <c r="B74" s="241"/>
      <c r="C74" s="241"/>
      <c r="D74" s="89"/>
      <c r="E74" s="120"/>
      <c r="F74" s="120"/>
      <c r="G74" s="120"/>
      <c r="H74" s="120"/>
      <c r="I74" s="89"/>
      <c r="J74" s="89"/>
      <c r="K74" s="226"/>
      <c r="L74" s="226"/>
      <c r="M74" s="89"/>
      <c r="N74" s="89"/>
      <c r="O74" s="89"/>
      <c r="P74" s="89"/>
      <c r="Q74" s="89"/>
    </row>
    <row r="75" spans="1:17" x14ac:dyDescent="0.35">
      <c r="A75" s="89"/>
      <c r="B75" s="241"/>
      <c r="C75" s="241"/>
      <c r="D75" s="89"/>
      <c r="E75" s="120"/>
      <c r="F75" s="120"/>
      <c r="G75" s="120"/>
      <c r="H75" s="120"/>
      <c r="I75" s="89"/>
      <c r="J75" s="89"/>
      <c r="K75" s="226"/>
      <c r="L75" s="226"/>
      <c r="M75" s="89"/>
      <c r="N75" s="89"/>
      <c r="O75" s="89"/>
      <c r="P75" s="89"/>
      <c r="Q75" s="89"/>
    </row>
    <row r="76" spans="1:17" x14ac:dyDescent="0.35">
      <c r="A76" s="89"/>
      <c r="B76" s="241"/>
      <c r="C76" s="241"/>
      <c r="D76" s="89"/>
      <c r="E76" s="120"/>
      <c r="F76" s="120"/>
      <c r="G76" s="120"/>
      <c r="H76" s="120"/>
      <c r="I76" s="89"/>
      <c r="J76" s="89"/>
      <c r="K76" s="226"/>
      <c r="L76" s="226"/>
      <c r="M76" s="89"/>
      <c r="N76" s="89"/>
      <c r="O76" s="89"/>
      <c r="P76" s="89"/>
      <c r="Q76" s="89"/>
    </row>
    <row r="77" spans="1:17" x14ac:dyDescent="0.35">
      <c r="A77" s="89"/>
      <c r="B77" s="241"/>
      <c r="C77" s="241"/>
      <c r="D77" s="89"/>
      <c r="E77" s="120"/>
      <c r="F77" s="120"/>
      <c r="G77" s="120"/>
      <c r="H77" s="120"/>
      <c r="I77" s="89"/>
      <c r="J77" s="248"/>
      <c r="K77" s="245"/>
      <c r="L77" s="245"/>
      <c r="M77" s="89"/>
      <c r="N77" s="89"/>
      <c r="O77" s="89"/>
      <c r="P77" s="89"/>
      <c r="Q77" s="89"/>
    </row>
    <row r="78" spans="1:17" x14ac:dyDescent="0.35">
      <c r="A78" s="89"/>
      <c r="B78" s="241"/>
      <c r="C78" s="241"/>
      <c r="D78" s="89"/>
      <c r="E78" s="120"/>
      <c r="F78" s="120"/>
      <c r="G78" s="120"/>
      <c r="H78" s="120"/>
      <c r="I78" s="89"/>
      <c r="J78" s="248"/>
      <c r="K78" s="245"/>
      <c r="L78" s="245"/>
      <c r="M78" s="89"/>
      <c r="N78" s="89"/>
      <c r="O78" s="89"/>
      <c r="P78" s="89"/>
      <c r="Q78" s="89"/>
    </row>
    <row r="79" spans="1:17" x14ac:dyDescent="0.35">
      <c r="A79" s="89"/>
      <c r="B79" s="241"/>
      <c r="C79" s="241"/>
      <c r="D79" s="89"/>
      <c r="E79" s="120"/>
      <c r="F79" s="120"/>
      <c r="G79" s="120"/>
      <c r="H79" s="120"/>
      <c r="I79" s="89"/>
      <c r="J79" s="248"/>
      <c r="K79" s="245"/>
      <c r="L79" s="245"/>
      <c r="M79" s="89"/>
      <c r="N79" s="89"/>
      <c r="O79" s="89"/>
      <c r="P79" s="89"/>
      <c r="Q79" s="89"/>
    </row>
    <row r="80" spans="1:17" x14ac:dyDescent="0.35">
      <c r="A80" s="89"/>
      <c r="B80" s="241"/>
      <c r="C80" s="241"/>
      <c r="D80" s="89"/>
      <c r="E80" s="120"/>
      <c r="F80" s="120"/>
      <c r="G80" s="120"/>
      <c r="H80" s="120"/>
      <c r="I80" s="89"/>
      <c r="J80" s="248"/>
      <c r="K80" s="245"/>
      <c r="L80" s="245"/>
      <c r="M80" s="89"/>
      <c r="N80" s="89"/>
      <c r="O80" s="89"/>
      <c r="P80" s="89"/>
      <c r="Q80" s="89"/>
    </row>
    <row r="81" spans="1:17" x14ac:dyDescent="0.35">
      <c r="A81" s="89"/>
      <c r="B81" s="241"/>
      <c r="C81" s="241"/>
      <c r="D81" s="89"/>
      <c r="E81" s="120"/>
      <c r="F81" s="120"/>
      <c r="G81" s="120"/>
      <c r="H81" s="120"/>
      <c r="I81" s="89"/>
      <c r="J81" s="248"/>
      <c r="K81" s="245"/>
      <c r="L81" s="245"/>
      <c r="M81" s="89"/>
      <c r="N81" s="89"/>
      <c r="O81" s="89"/>
      <c r="P81" s="89"/>
      <c r="Q81" s="89"/>
    </row>
    <row r="82" spans="1:17" x14ac:dyDescent="0.35">
      <c r="A82" s="89"/>
      <c r="B82" s="253"/>
      <c r="C82" s="253"/>
      <c r="D82" s="89"/>
      <c r="E82" s="120"/>
      <c r="F82" s="120"/>
      <c r="G82" s="120"/>
      <c r="H82" s="120"/>
      <c r="I82" s="89"/>
      <c r="J82" s="248"/>
      <c r="K82" s="245"/>
      <c r="L82" s="245"/>
      <c r="M82" s="89"/>
      <c r="N82" s="89"/>
      <c r="O82" s="89"/>
      <c r="P82" s="89"/>
      <c r="Q82" s="89"/>
    </row>
    <row r="83" spans="1:17" x14ac:dyDescent="0.35">
      <c r="A83" s="89"/>
      <c r="B83" s="241"/>
      <c r="C83" s="241"/>
      <c r="D83" s="89"/>
      <c r="E83" s="120"/>
      <c r="F83" s="120"/>
      <c r="G83" s="120"/>
      <c r="H83" s="120"/>
      <c r="I83" s="89"/>
      <c r="J83" s="248"/>
      <c r="K83" s="245"/>
      <c r="L83" s="245"/>
      <c r="M83" s="89"/>
      <c r="N83" s="89"/>
      <c r="O83" s="89"/>
      <c r="P83" s="89"/>
      <c r="Q83" s="89"/>
    </row>
    <row r="84" spans="1:17" x14ac:dyDescent="0.35">
      <c r="A84" s="89"/>
      <c r="B84" s="241"/>
      <c r="C84" s="241"/>
      <c r="D84" s="89"/>
      <c r="E84" s="120"/>
      <c r="F84" s="120"/>
      <c r="G84" s="120"/>
      <c r="H84" s="120"/>
      <c r="I84" s="89"/>
      <c r="J84" s="242"/>
      <c r="K84" s="243"/>
      <c r="L84" s="243"/>
      <c r="M84" s="89"/>
      <c r="N84" s="89"/>
      <c r="O84" s="89"/>
      <c r="P84" s="89"/>
      <c r="Q84" s="89"/>
    </row>
    <row r="85" spans="1:17" x14ac:dyDescent="0.35">
      <c r="A85" s="89"/>
      <c r="B85" s="241"/>
      <c r="C85" s="241"/>
      <c r="D85" s="89"/>
      <c r="E85" s="120"/>
      <c r="F85" s="120"/>
      <c r="G85" s="120"/>
      <c r="H85" s="120"/>
      <c r="I85" s="89"/>
      <c r="J85" s="242"/>
      <c r="K85" s="243"/>
      <c r="L85" s="243"/>
      <c r="M85" s="89"/>
      <c r="N85" s="89"/>
      <c r="O85" s="89"/>
      <c r="P85" s="89"/>
      <c r="Q85" s="89"/>
    </row>
    <row r="86" spans="1:17" x14ac:dyDescent="0.35">
      <c r="A86" s="89"/>
      <c r="B86" s="241"/>
      <c r="C86" s="241"/>
      <c r="D86" s="89"/>
      <c r="E86" s="120"/>
      <c r="F86" s="120"/>
      <c r="G86" s="120"/>
      <c r="H86" s="120"/>
      <c r="I86" s="89"/>
      <c r="J86" s="242"/>
      <c r="K86" s="245"/>
      <c r="L86" s="245"/>
      <c r="M86" s="89"/>
      <c r="N86" s="89"/>
      <c r="O86" s="89"/>
      <c r="P86" s="89"/>
      <c r="Q86" s="89"/>
    </row>
    <row r="87" spans="1:17" x14ac:dyDescent="0.35">
      <c r="A87" s="89"/>
      <c r="B87" s="241"/>
      <c r="C87" s="241"/>
      <c r="D87" s="89"/>
      <c r="E87" s="120"/>
      <c r="F87" s="120"/>
      <c r="G87" s="120"/>
      <c r="H87" s="120"/>
      <c r="I87" s="89"/>
      <c r="J87" s="242"/>
      <c r="K87" s="245"/>
      <c r="L87" s="245"/>
      <c r="M87" s="89"/>
      <c r="N87" s="89"/>
      <c r="O87" s="89"/>
      <c r="P87" s="89"/>
      <c r="Q87" s="89"/>
    </row>
    <row r="88" spans="1:17" x14ac:dyDescent="0.35">
      <c r="A88" s="89"/>
      <c r="B88" s="241"/>
      <c r="C88" s="241"/>
      <c r="D88" s="89"/>
      <c r="E88" s="120"/>
      <c r="F88" s="120"/>
      <c r="G88" s="120"/>
      <c r="H88" s="120"/>
      <c r="I88" s="89"/>
      <c r="J88" s="242"/>
      <c r="K88" s="245"/>
      <c r="L88" s="245"/>
      <c r="M88" s="89"/>
      <c r="N88" s="89"/>
      <c r="O88" s="89"/>
      <c r="P88" s="89"/>
      <c r="Q88" s="89"/>
    </row>
    <row r="89" spans="1:17" x14ac:dyDescent="0.35">
      <c r="A89" s="89"/>
      <c r="B89" s="241"/>
      <c r="C89" s="241"/>
      <c r="D89" s="89"/>
      <c r="E89" s="120"/>
      <c r="F89" s="120"/>
      <c r="G89" s="120"/>
      <c r="H89" s="120"/>
      <c r="I89" s="89"/>
      <c r="J89" s="242"/>
      <c r="K89" s="245"/>
      <c r="L89" s="245"/>
      <c r="M89" s="89"/>
      <c r="N89" s="89"/>
      <c r="O89" s="89"/>
      <c r="P89" s="89"/>
      <c r="Q89" s="89"/>
    </row>
    <row r="90" spans="1:17" x14ac:dyDescent="0.35">
      <c r="A90" s="89"/>
      <c r="B90" s="241"/>
      <c r="C90" s="241"/>
      <c r="D90" s="89"/>
      <c r="E90" s="120"/>
      <c r="F90" s="120"/>
      <c r="G90" s="120"/>
      <c r="H90" s="120"/>
      <c r="I90" s="89"/>
      <c r="J90" s="242"/>
      <c r="K90" s="245"/>
      <c r="L90" s="245"/>
      <c r="M90" s="89"/>
      <c r="N90" s="89"/>
      <c r="O90" s="89"/>
      <c r="P90" s="89"/>
      <c r="Q90" s="89"/>
    </row>
    <row r="91" spans="1:17" x14ac:dyDescent="0.35">
      <c r="A91" s="89"/>
      <c r="B91" s="253"/>
      <c r="C91" s="253"/>
      <c r="D91" s="89"/>
      <c r="E91" s="120"/>
      <c r="F91" s="120"/>
      <c r="G91" s="120"/>
      <c r="H91" s="120"/>
      <c r="I91" s="89"/>
      <c r="J91" s="89"/>
      <c r="K91" s="89"/>
      <c r="L91" s="89"/>
      <c r="M91" s="89"/>
      <c r="N91" s="89"/>
      <c r="O91" s="89"/>
      <c r="P91" s="89"/>
      <c r="Q91" s="89"/>
    </row>
    <row r="92" spans="1:17" x14ac:dyDescent="0.35">
      <c r="A92" s="89"/>
      <c r="B92" s="241"/>
      <c r="C92" s="241"/>
      <c r="D92" s="89"/>
      <c r="E92" s="120"/>
      <c r="F92" s="120"/>
      <c r="G92" s="120"/>
      <c r="H92" s="120"/>
      <c r="I92" s="89"/>
      <c r="J92" s="89"/>
      <c r="K92" s="89"/>
      <c r="L92" s="89"/>
      <c r="M92" s="89"/>
      <c r="N92" s="89"/>
      <c r="O92" s="89"/>
      <c r="P92" s="89"/>
      <c r="Q92" s="89"/>
    </row>
    <row r="93" spans="1:17" x14ac:dyDescent="0.35">
      <c r="A93" s="89"/>
      <c r="B93" s="241"/>
      <c r="C93" s="241"/>
      <c r="D93" s="89"/>
      <c r="E93" s="120"/>
      <c r="F93" s="120"/>
      <c r="G93" s="120"/>
      <c r="H93" s="120"/>
      <c r="I93" s="89"/>
      <c r="J93" s="89"/>
      <c r="K93" s="89"/>
      <c r="L93" s="89"/>
      <c r="M93" s="89"/>
      <c r="N93" s="89"/>
      <c r="O93" s="89"/>
      <c r="P93" s="89"/>
      <c r="Q93" s="89"/>
    </row>
    <row r="94" spans="1:17" x14ac:dyDescent="0.35">
      <c r="A94" s="89"/>
      <c r="B94" s="241"/>
      <c r="C94" s="241"/>
      <c r="D94" s="89"/>
      <c r="E94" s="120"/>
      <c r="F94" s="120"/>
      <c r="G94" s="120"/>
      <c r="H94" s="120"/>
      <c r="I94" s="89"/>
      <c r="J94" s="89"/>
      <c r="K94" s="89"/>
      <c r="L94" s="89"/>
      <c r="M94" s="89"/>
      <c r="N94" s="89"/>
      <c r="O94" s="89"/>
      <c r="P94" s="89"/>
      <c r="Q94" s="89"/>
    </row>
    <row r="95" spans="1:17" x14ac:dyDescent="0.35">
      <c r="A95" s="89"/>
      <c r="B95" s="241"/>
      <c r="C95" s="241"/>
      <c r="D95" s="89"/>
      <c r="E95" s="120"/>
      <c r="F95" s="120"/>
      <c r="G95" s="120"/>
      <c r="H95" s="120"/>
      <c r="I95" s="89"/>
      <c r="J95" s="89"/>
      <c r="K95" s="120"/>
      <c r="L95" s="89"/>
      <c r="M95" s="89"/>
      <c r="N95" s="89"/>
      <c r="O95" s="89"/>
      <c r="P95" s="89"/>
      <c r="Q95" s="89"/>
    </row>
    <row r="96" spans="1:17" s="90" customFormat="1" ht="27.75" customHeight="1" x14ac:dyDescent="0.35">
      <c r="A96" s="89"/>
      <c r="B96" s="254"/>
      <c r="C96" s="254"/>
      <c r="D96" s="89"/>
      <c r="E96" s="120"/>
      <c r="F96" s="120"/>
      <c r="G96" s="120"/>
      <c r="H96" s="120"/>
      <c r="I96" s="89"/>
      <c r="J96" s="121"/>
      <c r="K96" s="122"/>
      <c r="L96" s="89"/>
      <c r="M96" s="89"/>
      <c r="N96" s="89"/>
      <c r="O96" s="89"/>
      <c r="P96" s="89"/>
      <c r="Q96" s="89"/>
    </row>
    <row r="97" spans="1:17" x14ac:dyDescent="0.35">
      <c r="A97" s="89"/>
      <c r="B97" s="251"/>
      <c r="C97" s="251"/>
      <c r="D97" s="258"/>
      <c r="E97" s="259"/>
      <c r="F97" s="120"/>
      <c r="G97" s="260"/>
      <c r="H97" s="261"/>
      <c r="I97" s="89"/>
      <c r="J97" s="123"/>
      <c r="K97" s="123"/>
      <c r="L97" s="89"/>
      <c r="M97" s="89"/>
      <c r="N97" s="89"/>
      <c r="O97" s="89"/>
      <c r="P97" s="89"/>
      <c r="Q97" s="89"/>
    </row>
    <row r="98" spans="1:17" x14ac:dyDescent="0.35">
      <c r="A98" s="89"/>
      <c r="B98" s="251"/>
      <c r="C98" s="251"/>
      <c r="D98" s="258"/>
      <c r="E98" s="259"/>
      <c r="F98" s="120"/>
      <c r="G98" s="248"/>
      <c r="H98" s="261"/>
      <c r="I98" s="89"/>
      <c r="J98" s="123"/>
      <c r="K98" s="124"/>
      <c r="L98" s="262"/>
      <c r="M98" s="255"/>
      <c r="N98" s="89"/>
      <c r="O98" s="89"/>
      <c r="P98" s="89"/>
      <c r="Q98" s="89"/>
    </row>
    <row r="99" spans="1:17" x14ac:dyDescent="0.35">
      <c r="A99" s="89"/>
      <c r="B99" s="256"/>
      <c r="C99" s="256"/>
      <c r="D99" s="125"/>
      <c r="E99" s="125"/>
      <c r="F99" s="125"/>
      <c r="G99" s="125"/>
      <c r="H99" s="126"/>
      <c r="I99" s="89"/>
      <c r="J99" s="127"/>
      <c r="K99" s="124"/>
      <c r="L99" s="262"/>
      <c r="M99" s="255"/>
      <c r="N99" s="89"/>
      <c r="O99" s="89"/>
      <c r="P99" s="89"/>
      <c r="Q99" s="89"/>
    </row>
    <row r="100" spans="1:17" x14ac:dyDescent="0.35">
      <c r="A100" s="89"/>
      <c r="B100" s="89"/>
      <c r="C100" s="89"/>
      <c r="D100" s="89"/>
      <c r="E100" s="139"/>
      <c r="F100" s="139"/>
      <c r="G100" s="120"/>
      <c r="H100" s="89"/>
      <c r="I100" s="89"/>
      <c r="J100" s="89"/>
      <c r="K100" s="89"/>
      <c r="L100" s="89"/>
      <c r="M100" s="89"/>
      <c r="N100" s="89"/>
      <c r="O100" s="89"/>
      <c r="P100" s="89"/>
      <c r="Q100" s="89"/>
    </row>
    <row r="101" spans="1:17" x14ac:dyDescent="0.35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120"/>
      <c r="L101" s="89"/>
      <c r="M101" s="89"/>
      <c r="N101" s="89"/>
      <c r="O101" s="89"/>
      <c r="P101" s="89"/>
      <c r="Q101" s="89"/>
    </row>
    <row r="102" spans="1:17" x14ac:dyDescent="0.35">
      <c r="A102" s="89"/>
      <c r="B102" s="89"/>
      <c r="C102" s="89"/>
      <c r="D102" s="89"/>
      <c r="E102" s="125"/>
      <c r="F102" s="89"/>
      <c r="G102" s="89"/>
      <c r="H102" s="89"/>
      <c r="I102" s="89"/>
      <c r="J102" s="89"/>
      <c r="K102" s="120"/>
      <c r="L102" s="89"/>
      <c r="M102" s="89"/>
      <c r="N102" s="89"/>
      <c r="O102" s="89"/>
      <c r="P102" s="89"/>
      <c r="Q102" s="89"/>
    </row>
    <row r="103" spans="1:17" ht="15.5" x14ac:dyDescent="0.35">
      <c r="A103" s="89"/>
      <c r="B103" s="249"/>
      <c r="C103" s="249"/>
      <c r="D103" s="249"/>
      <c r="E103" s="129"/>
      <c r="F103" s="128"/>
      <c r="G103" s="89"/>
      <c r="H103" s="129"/>
      <c r="I103" s="89"/>
      <c r="J103" s="89"/>
      <c r="K103" s="89"/>
      <c r="L103" s="89"/>
      <c r="M103" s="89"/>
      <c r="N103" s="89"/>
      <c r="O103" s="89"/>
      <c r="P103" s="89"/>
      <c r="Q103" s="89"/>
    </row>
    <row r="104" spans="1:17" ht="33" customHeight="1" x14ac:dyDescent="0.35">
      <c r="A104" s="89"/>
      <c r="B104" s="249"/>
      <c r="C104" s="249"/>
      <c r="D104" s="249"/>
      <c r="E104" s="140"/>
      <c r="F104" s="128"/>
      <c r="G104" s="89"/>
      <c r="H104" s="129"/>
      <c r="I104" s="89"/>
      <c r="J104" s="89"/>
      <c r="K104" s="89"/>
      <c r="L104" s="89"/>
      <c r="M104" s="89"/>
      <c r="N104" s="89"/>
      <c r="O104" s="89"/>
      <c r="P104" s="89"/>
      <c r="Q104" s="89"/>
    </row>
    <row r="105" spans="1:17" ht="15.5" x14ac:dyDescent="0.35">
      <c r="A105" s="89"/>
      <c r="B105" s="257"/>
      <c r="C105" s="257"/>
      <c r="D105" s="257"/>
      <c r="E105" s="129"/>
      <c r="F105" s="128"/>
      <c r="G105" s="89"/>
      <c r="H105" s="129"/>
      <c r="I105" s="89"/>
      <c r="J105" s="120"/>
      <c r="K105" s="120"/>
      <c r="L105" s="89"/>
      <c r="M105" s="89"/>
      <c r="N105" s="89"/>
      <c r="O105" s="89"/>
      <c r="P105" s="89"/>
      <c r="Q105" s="89"/>
    </row>
    <row r="106" spans="1:17" ht="15.5" x14ac:dyDescent="0.35">
      <c r="A106" s="89"/>
      <c r="B106" s="249"/>
      <c r="C106" s="249"/>
      <c r="D106" s="249"/>
      <c r="E106" s="129"/>
      <c r="F106" s="128"/>
      <c r="G106" s="120"/>
      <c r="H106" s="129"/>
      <c r="I106" s="89"/>
      <c r="J106" s="120"/>
      <c r="K106" s="89"/>
      <c r="L106" s="89"/>
      <c r="M106" s="89"/>
      <c r="N106" s="89"/>
      <c r="O106" s="89"/>
      <c r="P106" s="89"/>
      <c r="Q106" s="89"/>
    </row>
    <row r="107" spans="1:17" ht="15.5" x14ac:dyDescent="0.35">
      <c r="A107" s="89"/>
      <c r="B107" s="249"/>
      <c r="C107" s="249"/>
      <c r="D107" s="249"/>
      <c r="E107" s="129"/>
      <c r="F107" s="128"/>
      <c r="G107" s="89"/>
      <c r="H107" s="129"/>
      <c r="I107" s="89"/>
      <c r="J107" s="120"/>
      <c r="K107" s="89"/>
      <c r="L107" s="89"/>
      <c r="M107" s="89"/>
      <c r="N107" s="89"/>
      <c r="O107" s="89"/>
      <c r="P107" s="89"/>
      <c r="Q107" s="89"/>
    </row>
    <row r="108" spans="1:17" x14ac:dyDescent="0.35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130"/>
      <c r="L108" s="89"/>
      <c r="M108" s="89"/>
      <c r="N108" s="89"/>
      <c r="O108" s="89"/>
      <c r="P108" s="89"/>
      <c r="Q108" s="89"/>
    </row>
    <row r="109" spans="1:17" x14ac:dyDescent="0.35"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</row>
  </sheetData>
  <mergeCells count="133">
    <mergeCell ref="M98:M99"/>
    <mergeCell ref="B99:C99"/>
    <mergeCell ref="B103:D104"/>
    <mergeCell ref="B105:D105"/>
    <mergeCell ref="B106:D106"/>
    <mergeCell ref="B107:D107"/>
    <mergeCell ref="B97:C98"/>
    <mergeCell ref="D97:D98"/>
    <mergeCell ref="E97:E98"/>
    <mergeCell ref="G97:G98"/>
    <mergeCell ref="H97:H98"/>
    <mergeCell ref="L98:L99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84:C84"/>
    <mergeCell ref="B73:C73"/>
    <mergeCell ref="B74:C74"/>
    <mergeCell ref="B75:C75"/>
    <mergeCell ref="B76:C76"/>
    <mergeCell ref="B77:C77"/>
    <mergeCell ref="B78:C78"/>
    <mergeCell ref="B91:C91"/>
    <mergeCell ref="B92:C92"/>
    <mergeCell ref="B63:C63"/>
    <mergeCell ref="B64:C64"/>
    <mergeCell ref="B65:C65"/>
    <mergeCell ref="B66:C66"/>
    <mergeCell ref="B79:C79"/>
    <mergeCell ref="B80:C80"/>
    <mergeCell ref="B81:C81"/>
    <mergeCell ref="B82:C82"/>
    <mergeCell ref="B83:C83"/>
    <mergeCell ref="J84:J85"/>
    <mergeCell ref="K84:L85"/>
    <mergeCell ref="B48:L49"/>
    <mergeCell ref="J86:J90"/>
    <mergeCell ref="K86:L90"/>
    <mergeCell ref="B50:M50"/>
    <mergeCell ref="B51:L51"/>
    <mergeCell ref="K74:L74"/>
    <mergeCell ref="K75:L75"/>
    <mergeCell ref="K76:L76"/>
    <mergeCell ref="J77:J83"/>
    <mergeCell ref="K77:L83"/>
    <mergeCell ref="B58:C58"/>
    <mergeCell ref="J58:K58"/>
    <mergeCell ref="B59:C59"/>
    <mergeCell ref="J59:K59"/>
    <mergeCell ref="B60:C60"/>
    <mergeCell ref="J60:K60"/>
    <mergeCell ref="B54:C54"/>
    <mergeCell ref="J54:K54"/>
    <mergeCell ref="B55:C55"/>
    <mergeCell ref="B56:C56"/>
    <mergeCell ref="B57:C57"/>
    <mergeCell ref="J57:K57"/>
    <mergeCell ref="B32:E32"/>
    <mergeCell ref="F32:H32"/>
    <mergeCell ref="B34:I34"/>
    <mergeCell ref="J36:L36"/>
    <mergeCell ref="J71:K71"/>
    <mergeCell ref="K73:L73"/>
    <mergeCell ref="B28:E29"/>
    <mergeCell ref="F28:H28"/>
    <mergeCell ref="F29:H29"/>
    <mergeCell ref="B30:E30"/>
    <mergeCell ref="F30:H30"/>
    <mergeCell ref="B31:E31"/>
    <mergeCell ref="F31:H31"/>
    <mergeCell ref="B44:E44"/>
    <mergeCell ref="B45:E45"/>
    <mergeCell ref="B46:E46"/>
    <mergeCell ref="B67:C67"/>
    <mergeCell ref="B68:C68"/>
    <mergeCell ref="B69:C69"/>
    <mergeCell ref="B70:C70"/>
    <mergeCell ref="B71:C71"/>
    <mergeCell ref="B72:C72"/>
    <mergeCell ref="B61:C61"/>
    <mergeCell ref="B62:C62"/>
    <mergeCell ref="B24:E25"/>
    <mergeCell ref="F24:H24"/>
    <mergeCell ref="F25:H25"/>
    <mergeCell ref="B26:E26"/>
    <mergeCell ref="F26:H26"/>
    <mergeCell ref="B27:E27"/>
    <mergeCell ref="F27:H27"/>
    <mergeCell ref="B18:E18"/>
    <mergeCell ref="F18:H18"/>
    <mergeCell ref="B19:E23"/>
    <mergeCell ref="F19:H19"/>
    <mergeCell ref="F20:H20"/>
    <mergeCell ref="F21:H21"/>
    <mergeCell ref="F22:H22"/>
    <mergeCell ref="F23:H23"/>
    <mergeCell ref="B14:E17"/>
    <mergeCell ref="F14:H14"/>
    <mergeCell ref="F15:H15"/>
    <mergeCell ref="F16:H16"/>
    <mergeCell ref="F17:H17"/>
    <mergeCell ref="B9:E13"/>
    <mergeCell ref="F9:H9"/>
    <mergeCell ref="F10:H10"/>
    <mergeCell ref="F11:H11"/>
    <mergeCell ref="F12:H12"/>
    <mergeCell ref="F13:H13"/>
    <mergeCell ref="B7:E8"/>
    <mergeCell ref="F7:H7"/>
    <mergeCell ref="F8:H8"/>
    <mergeCell ref="L4:L5"/>
    <mergeCell ref="M4:M5"/>
    <mergeCell ref="N4:N5"/>
    <mergeCell ref="O4:O5"/>
    <mergeCell ref="P4:P5"/>
    <mergeCell ref="Q4:Q5"/>
    <mergeCell ref="B2:J2"/>
    <mergeCell ref="B4:E5"/>
    <mergeCell ref="F4:H5"/>
    <mergeCell ref="I4:I5"/>
    <mergeCell ref="J4:J5"/>
    <mergeCell ref="K4:K5"/>
    <mergeCell ref="S4:S5"/>
    <mergeCell ref="R4:R5"/>
    <mergeCell ref="B6:E6"/>
    <mergeCell ref="F6:H6"/>
  </mergeCells>
  <pageMargins left="0.7" right="0.7" top="0.78740157499999996" bottom="0.78740157499999996" header="0.3" footer="0.3"/>
  <pageSetup paperSize="8" scale="8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2023 - schválený rozvoj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2023-10-27T07:33:05Z</dcterms:modified>
</cp:coreProperties>
</file>